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J:\Departamenti un nodalas\IPD\Finanšu instrumentu piesaistes nodaļa\Budžets\SAM_Sandra\SAM_531_CBA_metodika\"/>
    </mc:Choice>
  </mc:AlternateContent>
  <bookViews>
    <workbookView xWindow="0" yWindow="0" windowWidth="21570" windowHeight="7545" tabRatio="775"/>
  </bookViews>
  <sheets>
    <sheet name="Datu ievade" sheetId="1" r:id="rId1"/>
    <sheet name="gadu šķirošana" sheetId="18" state="hidden" r:id="rId2"/>
    <sheet name="Projekta naudas plusma" sheetId="19" r:id="rId3"/>
    <sheet name="Kopējie pieņēmumi" sheetId="17" r:id="rId4"/>
    <sheet name="Ekonomiskā analīze" sheetId="21" r:id="rId5"/>
    <sheet name="Paskaidrojumi aprēķiniem" sheetId="22" r:id="rId6"/>
    <sheet name="Aprekini" sheetId="8" r:id="rId7"/>
    <sheet name="Līdzfinansējums" sheetId="13" r:id="rId8"/>
    <sheet name="Saimnieciskas pamatdarbibas NP" sheetId="5" r:id="rId9"/>
    <sheet name="Naudas plusma" sheetId="2" r:id="rId10"/>
    <sheet name="Ilgtermina saistibas" sheetId="6" r:id="rId11"/>
    <sheet name="Iedzivotaju maksatspeja" sheetId="7" r:id="rId12"/>
    <sheet name="Jutiguma_analize" sheetId="23" r:id="rId13"/>
    <sheet name="Kriteriji" sheetId="14" r:id="rId14"/>
  </sheets>
  <externalReferences>
    <externalReference r:id="rId15"/>
  </externalReferences>
  <definedNames>
    <definedName name="BaseYear">"$#REF!.$D$7"</definedName>
    <definedName name="BillAnnualDomesticSewerage">"$#REF!.$D$17"</definedName>
    <definedName name="BillAnnualDomesticWater">"$#REF!.$D$17"</definedName>
    <definedName name="CF">"$#REF!.$H$2"</definedName>
    <definedName name="CFCase">"$#REF!.$D$13"</definedName>
    <definedName name="CivilReplacementMask">"$#REF!.$L$9:$AO$9"</definedName>
    <definedName name="CostInitial">"$#REF!.$C$19"</definedName>
    <definedName name="CostPercentPipes">"$#REF!.$C$21"</definedName>
    <definedName name="CostPercentPlant">"$#REF!.$C$22"</definedName>
    <definedName name="CostWaterAsPercentTotal">"$#REF!.$C$20"</definedName>
    <definedName name="disc_rate">"$#REF!.$#REF!$#REF!"</definedName>
    <definedName name="EvalPeriod">"$#REF!.$E$35"</definedName>
    <definedName name="Excel_BuiltIn__FilterDatabase_9" localSheetId="2">#REF!</definedName>
    <definedName name="Excel_BuiltIn__FilterDatabase_9">#REF!</definedName>
    <definedName name="Excel_BuiltIn_Print_Area_2">'Naudas plusma'!$A$2:$U$24</definedName>
    <definedName name="Excel_BuiltIn_Print_Area_8">Aprekini!$A$1:$U$171</definedName>
    <definedName name="Excel_BuiltIn_Print_Titles_9">Aprekini!$5:$5</definedName>
    <definedName name="FactorMM">"$#REF!.$E$28"</definedName>
    <definedName name="GrantRateActual">"$#REF!.$D$14"</definedName>
    <definedName name="HHIncomeIndex">"$#REF!.$L$7:$AO$7"</definedName>
    <definedName name="HoursWorking">"$#REF!.$G$9"</definedName>
    <definedName name="IncomeHHBase">"$#REF!.$D$13"</definedName>
    <definedName name="LabourCostIndex">"$#REF!.$L$5:$AO$5"</definedName>
    <definedName name="LCAnnual">"$#REF!.$D$8"</definedName>
    <definedName name="LifeCivil">"$#REF!.$C$26"</definedName>
    <definedName name="LifePipes">"$#REF!.$D$26"</definedName>
    <definedName name="LifePlant">"$#REF!.$E$26"</definedName>
    <definedName name="Maksimālā_KF_līdzfinansējuma_likme" localSheetId="0">'Datu ievade'!#REF!</definedName>
    <definedName name="MMMask">"$#REF!.$L$12:$AO$12"</definedName>
    <definedName name="OperatingMask">"$#REF!.$L$8:$AO$8"</definedName>
    <definedName name="Pašvaldība_vai_pašvaldības_iestāde_vai_pašvaldības_aģentūra">'Datu ievade'!#REF!</definedName>
    <definedName name="Period">"$#REF!.$L$3:$AO$3"</definedName>
    <definedName name="PeriodMMFirst">"$#REF!.$E$29"</definedName>
    <definedName name="PeriodMMSecond">"$#REF!.$E$30"</definedName>
    <definedName name="PipeReplacementMask">"$#REF!.$L$10:$AO$10"</definedName>
    <definedName name="PlantReplacementMask">"$#REF!.$L$11:$AO$11"</definedName>
    <definedName name="PplHh">"$#REF!.$G$8"</definedName>
    <definedName name="_xlnm.Print_Area" localSheetId="6">Aprekini!$A$1:$AG$378</definedName>
    <definedName name="_xlnm.Print_Area" localSheetId="11">'Iedzivotaju maksatspeja'!$A$2:$AG$39</definedName>
    <definedName name="_xlnm.Print_Area" localSheetId="10">'Ilgtermina saistibas'!$A$2:$AG$17</definedName>
    <definedName name="_xlnm.Print_Area" localSheetId="9">'Naudas plusma'!$A$2:$AG$25</definedName>
    <definedName name="_xlnm.Print_Area" localSheetId="5">'Paskaidrojumi aprēķiniem'!$A$1:$I$36</definedName>
    <definedName name="_xlnm.Print_Area" localSheetId="8">'Saimnieciskas pamatdarbibas NP'!$A$2:$AG$39</definedName>
    <definedName name="_xlnm.Print_Titles" localSheetId="6">(Aprekini!$A:$A,Aprekini!$1:$2)</definedName>
    <definedName name="_xlnm.Print_Titles" localSheetId="10">'Ilgtermina saistibas'!$A:$A</definedName>
    <definedName name="_xlnm.Print_Titles" localSheetId="9">'Naudas plusma'!$A:$A</definedName>
    <definedName name="_xlnm.Print_Titles" localSheetId="8">'Saimnieciskas pamatdarbibas NP'!$A:$A</definedName>
    <definedName name="RateDisc">"$#REF!.$H$3"</definedName>
    <definedName name="RateDiscount">"$#REF!.$C$4"</definedName>
    <definedName name="RateExch">"$#REF!.$H$4"</definedName>
    <definedName name="RateGrantBase">"$#REF!.$#REF!$#REF!"</definedName>
    <definedName name="ReplaceCase">"$#REF!.$D$12"</definedName>
    <definedName name="RVCase">"$#REF!.$D$9"</definedName>
    <definedName name="Seweragelcd">"$#REF!.$D$11"</definedName>
    <definedName name="SizeHH">"$#REF!.$#REF!$#REF!"</definedName>
    <definedName name="unitprice">"$#REF!.$D$6"</definedName>
    <definedName name="vat">"$#REF!.$#REF!$#REF!"</definedName>
    <definedName name="Waterlcd">"$#REF!.$D$10"</definedName>
    <definedName name="WOPFactor">"$#REF!.$H$5"</definedName>
    <definedName name="Y">"$#REF!.$E$9"</definedName>
    <definedName name="Year">"$#REF!.$L$2:$AO$2"</definedName>
    <definedName name="YearOpFirst">"$#REF!.$C$23"</definedName>
    <definedName name="YearRV">"$#REF!.$E$34"</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5" i="19" l="1"/>
  <c r="T22" i="19"/>
  <c r="I8" i="17"/>
  <c r="C6" i="18"/>
  <c r="B13" i="21" l="1"/>
  <c r="B31" i="17"/>
  <c r="B174" i="1" l="1"/>
  <c r="B18" i="1"/>
  <c r="B44" i="1"/>
  <c r="B107" i="5" l="1"/>
  <c r="B51" i="2" l="1"/>
  <c r="C51" i="2" s="1"/>
  <c r="D51" i="2" s="1"/>
  <c r="E51" i="2" s="1"/>
  <c r="F51" i="2" s="1"/>
  <c r="G51" i="2" s="1"/>
  <c r="H51" i="2" s="1"/>
  <c r="I51" i="2" s="1"/>
  <c r="J51" i="2" s="1"/>
  <c r="K51" i="2" s="1"/>
  <c r="L51" i="2" s="1"/>
  <c r="M51" i="2" s="1"/>
  <c r="N51" i="2" s="1"/>
  <c r="O51" i="2" s="1"/>
  <c r="P51" i="2" s="1"/>
  <c r="Q51" i="2" s="1"/>
  <c r="R51" i="2" s="1"/>
  <c r="S51" i="2" s="1"/>
  <c r="T51" i="2" s="1"/>
  <c r="U51" i="2" s="1"/>
  <c r="V51" i="2" s="1"/>
  <c r="W51" i="2" s="1"/>
  <c r="X51" i="2" s="1"/>
  <c r="Y51" i="2" s="1"/>
  <c r="Z51" i="2" s="1"/>
  <c r="AA51" i="2" s="1"/>
  <c r="AB51" i="2" s="1"/>
  <c r="AC51" i="2" s="1"/>
  <c r="AD51" i="2" s="1"/>
  <c r="AE51" i="2" s="1"/>
  <c r="AF51" i="2" s="1"/>
  <c r="AG51" i="2" s="1"/>
  <c r="AH51" i="2" s="1"/>
  <c r="H3" i="23"/>
  <c r="I3" i="23" s="1"/>
  <c r="J3" i="23" s="1"/>
  <c r="K3" i="23" s="1"/>
  <c r="L3" i="23" s="1"/>
  <c r="M3" i="23" s="1"/>
  <c r="N3" i="23" s="1"/>
  <c r="O3" i="23" s="1"/>
  <c r="P3" i="23" s="1"/>
  <c r="Q3" i="23" s="1"/>
  <c r="R3" i="23" s="1"/>
  <c r="S3" i="23" s="1"/>
  <c r="T3" i="23" s="1"/>
  <c r="U3" i="23" s="1"/>
  <c r="V3" i="23" s="1"/>
  <c r="W3" i="23" s="1"/>
  <c r="X3" i="23" s="1"/>
  <c r="Y3" i="23" s="1"/>
  <c r="Z3" i="23" s="1"/>
  <c r="AA3" i="23" s="1"/>
  <c r="AB3" i="23" s="1"/>
  <c r="AC3" i="23" s="1"/>
  <c r="AD3" i="23" s="1"/>
  <c r="G20" i="23"/>
  <c r="A17" i="23"/>
  <c r="B16" i="23"/>
  <c r="B15" i="23"/>
  <c r="A14" i="23"/>
  <c r="B13" i="23"/>
  <c r="B12" i="23"/>
  <c r="B11" i="23"/>
  <c r="B10" i="23"/>
  <c r="AE3" i="23" l="1"/>
  <c r="AF3" i="23" s="1"/>
  <c r="AG3" i="23" s="1"/>
  <c r="AH3" i="23" s="1"/>
  <c r="AI3" i="23" s="1"/>
  <c r="AJ3" i="23" s="1"/>
  <c r="B11" i="19" l="1"/>
  <c r="B112" i="1"/>
  <c r="D127" i="1"/>
  <c r="E127" i="1"/>
  <c r="F127" i="1"/>
  <c r="G127" i="1"/>
  <c r="H127" i="1"/>
  <c r="I127" i="1"/>
  <c r="J127" i="1"/>
  <c r="K127" i="1"/>
  <c r="L127" i="1"/>
  <c r="M127" i="1"/>
  <c r="N127" i="1"/>
  <c r="O127" i="1"/>
  <c r="P127" i="1"/>
  <c r="Q127" i="1"/>
  <c r="R127" i="1"/>
  <c r="S127" i="1"/>
  <c r="T127" i="1"/>
  <c r="U127" i="1"/>
  <c r="V127" i="1"/>
  <c r="W127" i="1"/>
  <c r="X127" i="1"/>
  <c r="Y127" i="1"/>
  <c r="Z127" i="1"/>
  <c r="AA127" i="1"/>
  <c r="AB127" i="1"/>
  <c r="AC127" i="1"/>
  <c r="AD127" i="1"/>
  <c r="AE127" i="1"/>
  <c r="AF127" i="1"/>
  <c r="AG127" i="1"/>
  <c r="AH127" i="1"/>
  <c r="AI127" i="1"/>
  <c r="D112" i="1"/>
  <c r="E112" i="1"/>
  <c r="F112" i="1"/>
  <c r="G112" i="1"/>
  <c r="H112" i="1"/>
  <c r="I112" i="1"/>
  <c r="J112" i="1"/>
  <c r="K112" i="1"/>
  <c r="L112" i="1"/>
  <c r="M112" i="1"/>
  <c r="N112" i="1"/>
  <c r="O112" i="1"/>
  <c r="P112" i="1"/>
  <c r="Q112" i="1"/>
  <c r="R112" i="1"/>
  <c r="S112" i="1"/>
  <c r="T112" i="1"/>
  <c r="U112" i="1"/>
  <c r="V112" i="1"/>
  <c r="W112" i="1"/>
  <c r="X112" i="1"/>
  <c r="Y112" i="1"/>
  <c r="Z112" i="1"/>
  <c r="AA112" i="1"/>
  <c r="AB112" i="1"/>
  <c r="AC112" i="1"/>
  <c r="AD112" i="1"/>
  <c r="AE112" i="1"/>
  <c r="AF112" i="1"/>
  <c r="AG112" i="1"/>
  <c r="AH112" i="1"/>
  <c r="AI112" i="1"/>
  <c r="C127" i="1"/>
  <c r="C112" i="1"/>
  <c r="D38" i="18"/>
  <c r="E38" i="18"/>
  <c r="F38" i="18"/>
  <c r="G38" i="18"/>
  <c r="H38" i="18"/>
  <c r="I38" i="18"/>
  <c r="J38" i="18"/>
  <c r="K38" i="18"/>
  <c r="L38" i="18"/>
  <c r="M38" i="18"/>
  <c r="N38" i="18"/>
  <c r="O38" i="18"/>
  <c r="P38" i="18"/>
  <c r="Q38" i="18"/>
  <c r="R38" i="18"/>
  <c r="S38" i="18"/>
  <c r="T38" i="18"/>
  <c r="U38" i="18"/>
  <c r="V38" i="18"/>
  <c r="W38" i="18"/>
  <c r="X38" i="18"/>
  <c r="Y38" i="18"/>
  <c r="Z38" i="18"/>
  <c r="AA38" i="18"/>
  <c r="AB38" i="18"/>
  <c r="AC38" i="18"/>
  <c r="AD38" i="18"/>
  <c r="AE38" i="18"/>
  <c r="AF38" i="18"/>
  <c r="AG38" i="18"/>
  <c r="AH38" i="18"/>
  <c r="AI38" i="18"/>
  <c r="AJ38" i="18"/>
  <c r="AK38" i="18"/>
  <c r="C38" i="18"/>
  <c r="B12" i="5" s="1"/>
  <c r="B69" i="5" l="1"/>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B13" i="6"/>
  <c r="AI10" i="6"/>
  <c r="C9" i="6"/>
  <c r="D9" i="6"/>
  <c r="E9" i="6"/>
  <c r="F9" i="6"/>
  <c r="G9" i="6"/>
  <c r="H9" i="6"/>
  <c r="I9" i="6"/>
  <c r="J9" i="6"/>
  <c r="K9" i="6"/>
  <c r="L9" i="6"/>
  <c r="M9" i="6"/>
  <c r="N9" i="6"/>
  <c r="O9" i="6"/>
  <c r="P9" i="6"/>
  <c r="Q9" i="6"/>
  <c r="R9" i="6"/>
  <c r="S9" i="6"/>
  <c r="T9" i="6"/>
  <c r="U9" i="6"/>
  <c r="V9" i="6"/>
  <c r="W9" i="6"/>
  <c r="X9" i="6"/>
  <c r="Y9" i="6"/>
  <c r="Z9" i="6"/>
  <c r="AA9" i="6"/>
  <c r="AB9" i="6"/>
  <c r="AC9" i="6"/>
  <c r="AD9" i="6"/>
  <c r="AE9" i="6"/>
  <c r="AF9" i="6"/>
  <c r="AG9" i="6"/>
  <c r="AH9" i="6"/>
  <c r="AI9" i="6"/>
  <c r="B9" i="6"/>
  <c r="B114" i="5" l="1"/>
  <c r="B101" i="5"/>
  <c r="D78" i="18"/>
  <c r="E78" i="18"/>
  <c r="F78" i="18"/>
  <c r="G78" i="18"/>
  <c r="H78" i="18"/>
  <c r="I78" i="18"/>
  <c r="J78" i="18"/>
  <c r="K78" i="18"/>
  <c r="L78" i="18"/>
  <c r="M78" i="18"/>
  <c r="N78" i="18"/>
  <c r="O78" i="18"/>
  <c r="P78" i="18"/>
  <c r="Q78" i="18"/>
  <c r="R78" i="18"/>
  <c r="S78" i="18"/>
  <c r="T78" i="18"/>
  <c r="U78" i="18"/>
  <c r="V78" i="18"/>
  <c r="W78" i="18"/>
  <c r="X78" i="18"/>
  <c r="Y78" i="18"/>
  <c r="Z78" i="18"/>
  <c r="AA78" i="18"/>
  <c r="AB78" i="18"/>
  <c r="AC78" i="18"/>
  <c r="AD78" i="18"/>
  <c r="AE78" i="18"/>
  <c r="AF78" i="18"/>
  <c r="AG78" i="18"/>
  <c r="AH78" i="18"/>
  <c r="AK78" i="18"/>
  <c r="C78" i="18"/>
  <c r="AK77" i="18"/>
  <c r="C77" i="18"/>
  <c r="D76" i="18"/>
  <c r="E76" i="18"/>
  <c r="F76" i="18"/>
  <c r="G76" i="18"/>
  <c r="H76" i="18"/>
  <c r="I76" i="18"/>
  <c r="J76" i="18"/>
  <c r="K76" i="18"/>
  <c r="L76" i="18"/>
  <c r="M76" i="18"/>
  <c r="N76" i="18"/>
  <c r="O76" i="18"/>
  <c r="P76" i="18"/>
  <c r="Q76" i="18"/>
  <c r="R76" i="18"/>
  <c r="S76" i="18"/>
  <c r="T76" i="18"/>
  <c r="U76" i="18"/>
  <c r="V76" i="18"/>
  <c r="W76" i="18"/>
  <c r="X76" i="18"/>
  <c r="Y76" i="18"/>
  <c r="Z76" i="18"/>
  <c r="AA76" i="18"/>
  <c r="AB76" i="18"/>
  <c r="AC76" i="18"/>
  <c r="AD76" i="18"/>
  <c r="AE76" i="18"/>
  <c r="AF76" i="18"/>
  <c r="AG76" i="18"/>
  <c r="AH76" i="18"/>
  <c r="AK76" i="18"/>
  <c r="C76" i="18"/>
  <c r="AK75" i="18"/>
  <c r="C75" i="18"/>
  <c r="D74" i="18"/>
  <c r="E74" i="18"/>
  <c r="F74" i="18"/>
  <c r="G74" i="18"/>
  <c r="H74" i="18"/>
  <c r="I74" i="18"/>
  <c r="J74" i="18"/>
  <c r="K74" i="18"/>
  <c r="L74" i="18"/>
  <c r="M74" i="18"/>
  <c r="N74" i="18"/>
  <c r="O74" i="18"/>
  <c r="P74" i="18"/>
  <c r="Q74" i="18"/>
  <c r="R74" i="18"/>
  <c r="S74" i="18"/>
  <c r="T74" i="18"/>
  <c r="U74" i="18"/>
  <c r="V74" i="18"/>
  <c r="W74" i="18"/>
  <c r="X74" i="18"/>
  <c r="Y74" i="18"/>
  <c r="Z74" i="18"/>
  <c r="AA74" i="18"/>
  <c r="AB74" i="18"/>
  <c r="AC74" i="18"/>
  <c r="AD74" i="18"/>
  <c r="AE74" i="18"/>
  <c r="AF74" i="18"/>
  <c r="AG74" i="18"/>
  <c r="AH74" i="18"/>
  <c r="AK74" i="18"/>
  <c r="C74" i="18"/>
  <c r="B71" i="8"/>
  <c r="B69" i="8"/>
  <c r="C69" i="8" s="1"/>
  <c r="D69" i="8" s="1"/>
  <c r="E69" i="8" s="1"/>
  <c r="F69" i="8" s="1"/>
  <c r="G69" i="8" s="1"/>
  <c r="H69" i="8" s="1"/>
  <c r="I69" i="8" s="1"/>
  <c r="J69" i="8" s="1"/>
  <c r="K69" i="8" s="1"/>
  <c r="L69" i="8" s="1"/>
  <c r="M69" i="8" s="1"/>
  <c r="N69" i="8" s="1"/>
  <c r="O69" i="8" s="1"/>
  <c r="P69" i="8" s="1"/>
  <c r="Q69" i="8" s="1"/>
  <c r="R69" i="8" s="1"/>
  <c r="S69" i="8" s="1"/>
  <c r="T69" i="8" s="1"/>
  <c r="U69" i="8" s="1"/>
  <c r="V69" i="8" s="1"/>
  <c r="W69" i="8" s="1"/>
  <c r="X69" i="8" s="1"/>
  <c r="Y69" i="8" s="1"/>
  <c r="Z69" i="8" s="1"/>
  <c r="AA69" i="8" s="1"/>
  <c r="AB69" i="8" s="1"/>
  <c r="AC69" i="8" s="1"/>
  <c r="AD69" i="8" s="1"/>
  <c r="AE69" i="8" s="1"/>
  <c r="AF69" i="8" s="1"/>
  <c r="AG69" i="8" s="1"/>
  <c r="AH69" i="8" s="1"/>
  <c r="AI69" i="8" s="1"/>
  <c r="B65" i="8"/>
  <c r="B63" i="8"/>
  <c r="C63" i="8" s="1"/>
  <c r="D63" i="8" s="1"/>
  <c r="E63" i="8" s="1"/>
  <c r="F63" i="8" s="1"/>
  <c r="G63" i="8" s="1"/>
  <c r="H63" i="8" s="1"/>
  <c r="I63" i="8" s="1"/>
  <c r="J63" i="8" s="1"/>
  <c r="K63" i="8" s="1"/>
  <c r="L63" i="8" s="1"/>
  <c r="M63" i="8" s="1"/>
  <c r="N63" i="8" s="1"/>
  <c r="O63" i="8" s="1"/>
  <c r="P63" i="8" s="1"/>
  <c r="Q63" i="8" s="1"/>
  <c r="R63" i="8" s="1"/>
  <c r="S63" i="8" s="1"/>
  <c r="T63" i="8" s="1"/>
  <c r="U63" i="8" s="1"/>
  <c r="V63" i="8" s="1"/>
  <c r="W63" i="8" s="1"/>
  <c r="X63" i="8" s="1"/>
  <c r="Y63" i="8" s="1"/>
  <c r="Z63" i="8" s="1"/>
  <c r="AA63" i="8" s="1"/>
  <c r="AB63" i="8" s="1"/>
  <c r="AC63" i="8" s="1"/>
  <c r="AD63" i="8" s="1"/>
  <c r="AE63" i="8" s="1"/>
  <c r="AF63" i="8" s="1"/>
  <c r="AG63" i="8" s="1"/>
  <c r="AH63" i="8" s="1"/>
  <c r="AI63" i="8" s="1"/>
  <c r="B59" i="8"/>
  <c r="C57" i="8"/>
  <c r="D57" i="8" s="1"/>
  <c r="E57" i="8" s="1"/>
  <c r="F57" i="8" s="1"/>
  <c r="G57" i="8" s="1"/>
  <c r="H57" i="8" s="1"/>
  <c r="I57" i="8" s="1"/>
  <c r="J57" i="8" s="1"/>
  <c r="K57" i="8" s="1"/>
  <c r="L57" i="8" s="1"/>
  <c r="M57" i="8" s="1"/>
  <c r="N57" i="8" s="1"/>
  <c r="O57" i="8" s="1"/>
  <c r="P57" i="8" s="1"/>
  <c r="Q57" i="8" s="1"/>
  <c r="R57" i="8" s="1"/>
  <c r="S57" i="8" s="1"/>
  <c r="T57" i="8" s="1"/>
  <c r="U57" i="8" s="1"/>
  <c r="V57" i="8" s="1"/>
  <c r="W57" i="8" s="1"/>
  <c r="X57" i="8" s="1"/>
  <c r="Y57" i="8" s="1"/>
  <c r="Z57" i="8" s="1"/>
  <c r="AA57" i="8" s="1"/>
  <c r="AB57" i="8" s="1"/>
  <c r="AC57" i="8" s="1"/>
  <c r="AD57" i="8" s="1"/>
  <c r="AE57" i="8" s="1"/>
  <c r="AF57" i="8" s="1"/>
  <c r="AG57" i="8" s="1"/>
  <c r="AH57" i="8" s="1"/>
  <c r="AI57" i="8" s="1"/>
  <c r="B57" i="8"/>
  <c r="B51" i="8"/>
  <c r="B49" i="8"/>
  <c r="C49" i="8" s="1"/>
  <c r="D49" i="8" s="1"/>
  <c r="E49" i="8" s="1"/>
  <c r="F49" i="8" s="1"/>
  <c r="G49" i="8" s="1"/>
  <c r="H49" i="8" s="1"/>
  <c r="I49" i="8" s="1"/>
  <c r="J49" i="8" s="1"/>
  <c r="K49" i="8" s="1"/>
  <c r="L49" i="8" s="1"/>
  <c r="M49" i="8" s="1"/>
  <c r="N49" i="8" s="1"/>
  <c r="O49" i="8" s="1"/>
  <c r="P49" i="8" s="1"/>
  <c r="Q49" i="8" s="1"/>
  <c r="R49" i="8" s="1"/>
  <c r="S49" i="8" s="1"/>
  <c r="T49" i="8" s="1"/>
  <c r="U49" i="8" s="1"/>
  <c r="V49" i="8" s="1"/>
  <c r="W49" i="8" s="1"/>
  <c r="X49" i="8" s="1"/>
  <c r="Y49" i="8" s="1"/>
  <c r="Z49" i="8" s="1"/>
  <c r="AA49" i="8" s="1"/>
  <c r="AB49" i="8" s="1"/>
  <c r="AC49" i="8" s="1"/>
  <c r="AD49" i="8" s="1"/>
  <c r="AE49" i="8" s="1"/>
  <c r="AF49" i="8" s="1"/>
  <c r="AG49" i="8" s="1"/>
  <c r="AH49" i="8" s="1"/>
  <c r="AI49" i="8" s="1"/>
  <c r="B45" i="8"/>
  <c r="B43" i="8"/>
  <c r="C43" i="8" s="1"/>
  <c r="D43" i="8" s="1"/>
  <c r="E43" i="8" s="1"/>
  <c r="F43" i="8" s="1"/>
  <c r="G43" i="8" s="1"/>
  <c r="H43" i="8" s="1"/>
  <c r="I43" i="8" s="1"/>
  <c r="J43" i="8" s="1"/>
  <c r="K43" i="8" s="1"/>
  <c r="L43" i="8" s="1"/>
  <c r="M43" i="8" s="1"/>
  <c r="N43" i="8" s="1"/>
  <c r="O43" i="8" s="1"/>
  <c r="P43" i="8" s="1"/>
  <c r="Q43" i="8" s="1"/>
  <c r="R43" i="8" s="1"/>
  <c r="S43" i="8" s="1"/>
  <c r="T43" i="8" s="1"/>
  <c r="U43" i="8" s="1"/>
  <c r="V43" i="8" s="1"/>
  <c r="W43" i="8" s="1"/>
  <c r="X43" i="8" s="1"/>
  <c r="Y43" i="8" s="1"/>
  <c r="Z43" i="8" s="1"/>
  <c r="AA43" i="8" s="1"/>
  <c r="AB43" i="8" s="1"/>
  <c r="AC43" i="8" s="1"/>
  <c r="AD43" i="8" s="1"/>
  <c r="AE43" i="8" s="1"/>
  <c r="AF43" i="8" s="1"/>
  <c r="AG43" i="8" s="1"/>
  <c r="AH43" i="8" s="1"/>
  <c r="AI43" i="8" s="1"/>
  <c r="B39" i="8"/>
  <c r="B37" i="8"/>
  <c r="C37" i="8" s="1"/>
  <c r="D37" i="8" s="1"/>
  <c r="E37" i="8" s="1"/>
  <c r="F37" i="8" s="1"/>
  <c r="G37" i="8" s="1"/>
  <c r="H37" i="8" s="1"/>
  <c r="I37" i="8" s="1"/>
  <c r="J37" i="8" s="1"/>
  <c r="K37" i="8" s="1"/>
  <c r="L37" i="8" s="1"/>
  <c r="M37" i="8" s="1"/>
  <c r="N37" i="8" s="1"/>
  <c r="O37" i="8" s="1"/>
  <c r="P37" i="8" s="1"/>
  <c r="Q37" i="8" s="1"/>
  <c r="R37" i="8" s="1"/>
  <c r="S37" i="8" s="1"/>
  <c r="T37" i="8" s="1"/>
  <c r="U37" i="8" s="1"/>
  <c r="V37" i="8" s="1"/>
  <c r="W37" i="8" s="1"/>
  <c r="X37" i="8" s="1"/>
  <c r="Y37" i="8" s="1"/>
  <c r="Z37" i="8" s="1"/>
  <c r="AA37" i="8" s="1"/>
  <c r="AB37" i="8" s="1"/>
  <c r="AC37" i="8" s="1"/>
  <c r="AD37" i="8" s="1"/>
  <c r="AE37" i="8" s="1"/>
  <c r="AF37" i="8" s="1"/>
  <c r="AG37" i="8" s="1"/>
  <c r="AH37" i="8" s="1"/>
  <c r="AI37" i="8" s="1"/>
  <c r="D59" i="18"/>
  <c r="E59" i="18"/>
  <c r="F59" i="18"/>
  <c r="G59" i="18"/>
  <c r="H59" i="18"/>
  <c r="I59" i="18"/>
  <c r="J59" i="18"/>
  <c r="K59" i="18"/>
  <c r="L59" i="18"/>
  <c r="M59" i="18"/>
  <c r="N59" i="18"/>
  <c r="O59" i="18"/>
  <c r="P59" i="18"/>
  <c r="Q59" i="18"/>
  <c r="R59" i="18"/>
  <c r="S59" i="18"/>
  <c r="T59" i="18"/>
  <c r="U59" i="18"/>
  <c r="V59" i="18"/>
  <c r="W59" i="18"/>
  <c r="X59" i="18"/>
  <c r="Y59" i="18"/>
  <c r="Z59" i="18"/>
  <c r="AA59" i="18"/>
  <c r="AB59" i="18"/>
  <c r="AC59" i="18"/>
  <c r="AD59" i="18"/>
  <c r="AE59" i="18"/>
  <c r="AF59" i="18"/>
  <c r="AG59" i="18"/>
  <c r="AH59" i="18"/>
  <c r="AI59" i="18"/>
  <c r="AJ59" i="18"/>
  <c r="AK59" i="18"/>
  <c r="D61" i="18"/>
  <c r="E61" i="18"/>
  <c r="F61" i="18"/>
  <c r="G61" i="18"/>
  <c r="H61" i="18"/>
  <c r="I61" i="18"/>
  <c r="J61" i="18"/>
  <c r="K61" i="18"/>
  <c r="L61" i="18"/>
  <c r="M61" i="18"/>
  <c r="N61" i="18"/>
  <c r="O61" i="18"/>
  <c r="P61" i="18"/>
  <c r="Q61" i="18"/>
  <c r="R61" i="18"/>
  <c r="S61" i="18"/>
  <c r="T61" i="18"/>
  <c r="U61" i="18"/>
  <c r="V61" i="18"/>
  <c r="W61" i="18"/>
  <c r="X61" i="18"/>
  <c r="Y61" i="18"/>
  <c r="Z61" i="18"/>
  <c r="AA61" i="18"/>
  <c r="AB61" i="18"/>
  <c r="AC61" i="18"/>
  <c r="AD61" i="18"/>
  <c r="AE61" i="18"/>
  <c r="AF61" i="18"/>
  <c r="AG61" i="18"/>
  <c r="AH61" i="18"/>
  <c r="AI61" i="18"/>
  <c r="AJ61" i="18"/>
  <c r="AK61" i="18"/>
  <c r="C61" i="18"/>
  <c r="C59" i="18"/>
  <c r="D44" i="18"/>
  <c r="E44" i="18"/>
  <c r="F44" i="18"/>
  <c r="G44" i="18"/>
  <c r="H44" i="18"/>
  <c r="I44" i="18"/>
  <c r="J44" i="18"/>
  <c r="K44" i="18"/>
  <c r="L44" i="18"/>
  <c r="M44" i="18"/>
  <c r="N44" i="18"/>
  <c r="O44" i="18"/>
  <c r="P44" i="18"/>
  <c r="Q44" i="18"/>
  <c r="R44" i="18"/>
  <c r="S44" i="18"/>
  <c r="T44" i="18"/>
  <c r="U44" i="18"/>
  <c r="V44" i="18"/>
  <c r="W44" i="18"/>
  <c r="X44" i="18"/>
  <c r="Y44" i="18"/>
  <c r="Z44" i="18"/>
  <c r="AA44" i="18"/>
  <c r="AB44" i="18"/>
  <c r="AC44" i="18"/>
  <c r="AD44" i="18"/>
  <c r="AE44" i="18"/>
  <c r="AF44" i="18"/>
  <c r="AG44" i="18"/>
  <c r="AH44" i="18"/>
  <c r="AI44" i="18"/>
  <c r="AJ44" i="18"/>
  <c r="AK44" i="18"/>
  <c r="D46" i="18"/>
  <c r="E46" i="18"/>
  <c r="F46" i="18"/>
  <c r="G46" i="18"/>
  <c r="H46" i="18"/>
  <c r="I46" i="18"/>
  <c r="J46" i="18"/>
  <c r="K46" i="18"/>
  <c r="L46" i="18"/>
  <c r="M46" i="18"/>
  <c r="N46" i="18"/>
  <c r="O46" i="18"/>
  <c r="P46" i="18"/>
  <c r="Q46" i="18"/>
  <c r="R46" i="18"/>
  <c r="S46" i="18"/>
  <c r="T46" i="18"/>
  <c r="U46" i="18"/>
  <c r="V46" i="18"/>
  <c r="W46" i="18"/>
  <c r="X46" i="18"/>
  <c r="Y46" i="18"/>
  <c r="Z46" i="18"/>
  <c r="AA46" i="18"/>
  <c r="AB46" i="18"/>
  <c r="AC46" i="18"/>
  <c r="AD46" i="18"/>
  <c r="AE46" i="18"/>
  <c r="AF46" i="18"/>
  <c r="AG46" i="18"/>
  <c r="AH46" i="18"/>
  <c r="AI46" i="18"/>
  <c r="AJ46" i="18"/>
  <c r="AK46" i="18"/>
  <c r="C45" i="18"/>
  <c r="C46" i="18"/>
  <c r="C44" i="18"/>
  <c r="D49" i="18"/>
  <c r="E49" i="18"/>
  <c r="F49" i="18"/>
  <c r="G49" i="18"/>
  <c r="H49" i="18"/>
  <c r="I49" i="18"/>
  <c r="J49" i="18"/>
  <c r="K49" i="18"/>
  <c r="L49" i="18"/>
  <c r="M49" i="18"/>
  <c r="N49" i="18"/>
  <c r="O49" i="18"/>
  <c r="P49" i="18"/>
  <c r="Q49" i="18"/>
  <c r="R49" i="18"/>
  <c r="S49" i="18"/>
  <c r="T49" i="18"/>
  <c r="U49" i="18"/>
  <c r="V49" i="18"/>
  <c r="W49" i="18"/>
  <c r="X49" i="18"/>
  <c r="Y49" i="18"/>
  <c r="Z49" i="18"/>
  <c r="AA49" i="18"/>
  <c r="AB49" i="18"/>
  <c r="AC49" i="18"/>
  <c r="AD49" i="18"/>
  <c r="AE49" i="18"/>
  <c r="AF49" i="18"/>
  <c r="AG49" i="18"/>
  <c r="AH49" i="18"/>
  <c r="AI49" i="18"/>
  <c r="AJ49" i="18"/>
  <c r="AK49" i="18"/>
  <c r="D50" i="18"/>
  <c r="E50" i="18"/>
  <c r="F50" i="18"/>
  <c r="G50" i="18"/>
  <c r="H50" i="18"/>
  <c r="I50" i="18"/>
  <c r="J50" i="18"/>
  <c r="K50" i="18"/>
  <c r="L50" i="18"/>
  <c r="M50" i="18"/>
  <c r="N50" i="18"/>
  <c r="O50" i="18"/>
  <c r="P50" i="18"/>
  <c r="Q50" i="18"/>
  <c r="R50" i="18"/>
  <c r="S50" i="18"/>
  <c r="T50" i="18"/>
  <c r="U50" i="18"/>
  <c r="V50" i="18"/>
  <c r="W50" i="18"/>
  <c r="X50" i="18"/>
  <c r="Y50" i="18"/>
  <c r="Z50" i="18"/>
  <c r="AA50" i="18"/>
  <c r="AB50" i="18"/>
  <c r="AC50" i="18"/>
  <c r="AD50" i="18"/>
  <c r="AE50" i="18"/>
  <c r="AF50" i="18"/>
  <c r="AG50" i="18"/>
  <c r="AH50" i="18"/>
  <c r="AI50" i="18"/>
  <c r="AJ50" i="18"/>
  <c r="AK50" i="18"/>
  <c r="D51" i="18"/>
  <c r="E51" i="18"/>
  <c r="F51" i="18"/>
  <c r="G51" i="18"/>
  <c r="H51" i="18"/>
  <c r="I51" i="18"/>
  <c r="J51" i="18"/>
  <c r="K51" i="18"/>
  <c r="L51" i="18"/>
  <c r="M51" i="18"/>
  <c r="N51" i="18"/>
  <c r="O51" i="18"/>
  <c r="P51" i="18"/>
  <c r="Q51" i="18"/>
  <c r="R51" i="18"/>
  <c r="S51" i="18"/>
  <c r="T51" i="18"/>
  <c r="U51" i="18"/>
  <c r="V51" i="18"/>
  <c r="W51" i="18"/>
  <c r="X51" i="18"/>
  <c r="Y51" i="18"/>
  <c r="Z51" i="18"/>
  <c r="AA51" i="18"/>
  <c r="AB51" i="18"/>
  <c r="AC51" i="18"/>
  <c r="AD51" i="18"/>
  <c r="AE51" i="18"/>
  <c r="AF51" i="18"/>
  <c r="AG51" i="18"/>
  <c r="AH51" i="18"/>
  <c r="AI51" i="18"/>
  <c r="AJ51" i="18"/>
  <c r="AK51" i="18"/>
  <c r="D52" i="18"/>
  <c r="E52" i="18"/>
  <c r="F52" i="18"/>
  <c r="G52" i="18"/>
  <c r="H52" i="18"/>
  <c r="I52" i="18"/>
  <c r="J52" i="18"/>
  <c r="K52" i="18"/>
  <c r="L52" i="18"/>
  <c r="M52" i="18"/>
  <c r="N52" i="18"/>
  <c r="O52" i="18"/>
  <c r="P52" i="18"/>
  <c r="Q52" i="18"/>
  <c r="R52" i="18"/>
  <c r="S52" i="18"/>
  <c r="T52" i="18"/>
  <c r="U52" i="18"/>
  <c r="V52" i="18"/>
  <c r="W52" i="18"/>
  <c r="X52" i="18"/>
  <c r="Y52" i="18"/>
  <c r="Z52" i="18"/>
  <c r="AA52" i="18"/>
  <c r="AB52" i="18"/>
  <c r="AC52" i="18"/>
  <c r="AD52" i="18"/>
  <c r="AE52" i="18"/>
  <c r="AF52" i="18"/>
  <c r="AG52" i="18"/>
  <c r="AH52" i="18"/>
  <c r="AI52" i="18"/>
  <c r="AJ52" i="18"/>
  <c r="AK52" i="18"/>
  <c r="D53" i="18"/>
  <c r="E53" i="18"/>
  <c r="F53" i="18"/>
  <c r="G53" i="18"/>
  <c r="H53" i="18"/>
  <c r="I53" i="18"/>
  <c r="J53" i="18"/>
  <c r="K53" i="18"/>
  <c r="L53" i="18"/>
  <c r="M53" i="18"/>
  <c r="N53" i="18"/>
  <c r="O53" i="18"/>
  <c r="P53" i="18"/>
  <c r="Q53" i="18"/>
  <c r="R53" i="18"/>
  <c r="S53" i="18"/>
  <c r="T53" i="18"/>
  <c r="U53" i="18"/>
  <c r="V53" i="18"/>
  <c r="W53" i="18"/>
  <c r="X53" i="18"/>
  <c r="Y53" i="18"/>
  <c r="Z53" i="18"/>
  <c r="AA53" i="18"/>
  <c r="AB53" i="18"/>
  <c r="AC53" i="18"/>
  <c r="AD53" i="18"/>
  <c r="AE53" i="18"/>
  <c r="AF53" i="18"/>
  <c r="AG53" i="18"/>
  <c r="AH53" i="18"/>
  <c r="AI53" i="18"/>
  <c r="AJ53" i="18"/>
  <c r="AK53" i="18"/>
  <c r="C50" i="18"/>
  <c r="C51" i="18"/>
  <c r="C52" i="18"/>
  <c r="C53" i="18"/>
  <c r="C49" i="18"/>
  <c r="B54" i="18"/>
  <c r="B55" i="18"/>
  <c r="B56" i="18"/>
  <c r="B57" i="18"/>
  <c r="B53" i="18"/>
  <c r="B40" i="18"/>
  <c r="B41" i="18"/>
  <c r="B42" i="18"/>
  <c r="B39" i="18"/>
  <c r="B20" i="17"/>
  <c r="B14" i="5" l="1"/>
  <c r="B71" i="5"/>
  <c r="B75" i="5"/>
  <c r="B18" i="5"/>
  <c r="B73" i="5"/>
  <c r="B16" i="5"/>
  <c r="B23" i="5"/>
  <c r="B80" i="5"/>
  <c r="B27" i="5"/>
  <c r="B84" i="5"/>
  <c r="B17" i="5"/>
  <c r="B74" i="5"/>
  <c r="B15" i="5"/>
  <c r="B72" i="5"/>
  <c r="B78" i="5"/>
  <c r="B21" i="5"/>
  <c r="B82" i="5"/>
  <c r="B25" i="5"/>
  <c r="AJ106" i="1"/>
  <c r="AK39" i="18" s="1"/>
  <c r="AK106" i="1"/>
  <c r="AL106" i="1"/>
  <c r="AM106" i="1"/>
  <c r="AN106" i="1"/>
  <c r="AJ112" i="1"/>
  <c r="AK45" i="18" s="1"/>
  <c r="AK112" i="1"/>
  <c r="AL112" i="1"/>
  <c r="AM112" i="1"/>
  <c r="AN112" i="1"/>
  <c r="AJ121" i="1"/>
  <c r="AK54" i="18" s="1"/>
  <c r="AK121" i="1"/>
  <c r="AL121" i="1"/>
  <c r="AM121" i="1"/>
  <c r="AN121" i="1"/>
  <c r="AJ127" i="1"/>
  <c r="AK60" i="18" s="1"/>
  <c r="AK127" i="1"/>
  <c r="AL127" i="1"/>
  <c r="AM127" i="1"/>
  <c r="AN127" i="1"/>
  <c r="AI121" i="1"/>
  <c r="AJ54" i="18" s="1"/>
  <c r="AH121" i="1"/>
  <c r="AI54" i="18" s="1"/>
  <c r="AG121" i="1"/>
  <c r="AH54" i="18" s="1"/>
  <c r="AF121" i="1"/>
  <c r="AG54" i="18" s="1"/>
  <c r="AE121" i="1"/>
  <c r="AF54" i="18" s="1"/>
  <c r="AD121" i="1"/>
  <c r="AE54" i="18" s="1"/>
  <c r="AC121" i="1"/>
  <c r="AD54" i="18" s="1"/>
  <c r="AB121" i="1"/>
  <c r="AC54" i="18" s="1"/>
  <c r="AA121" i="1"/>
  <c r="AB54" i="18" s="1"/>
  <c r="Z121" i="1"/>
  <c r="AA54" i="18" s="1"/>
  <c r="Y121" i="1"/>
  <c r="Z54" i="18" s="1"/>
  <c r="X121" i="1"/>
  <c r="Y54" i="18" s="1"/>
  <c r="W121" i="1"/>
  <c r="X54" i="18" s="1"/>
  <c r="V121" i="1"/>
  <c r="W54" i="18" s="1"/>
  <c r="U121" i="1"/>
  <c r="V54" i="18" s="1"/>
  <c r="T121" i="1"/>
  <c r="U54" i="18" s="1"/>
  <c r="S121" i="1"/>
  <c r="T54" i="18" s="1"/>
  <c r="R121" i="1"/>
  <c r="S54" i="18" s="1"/>
  <c r="Q121" i="1"/>
  <c r="R54" i="18" s="1"/>
  <c r="P121" i="1"/>
  <c r="Q54" i="18" s="1"/>
  <c r="O121" i="1"/>
  <c r="P54" i="18" s="1"/>
  <c r="N121" i="1"/>
  <c r="O54" i="18" s="1"/>
  <c r="M121" i="1"/>
  <c r="N54" i="18" s="1"/>
  <c r="L121" i="1"/>
  <c r="M54" i="18" s="1"/>
  <c r="K121" i="1"/>
  <c r="L54" i="18" s="1"/>
  <c r="J121" i="1"/>
  <c r="K54" i="18" s="1"/>
  <c r="I121" i="1"/>
  <c r="J54" i="18" s="1"/>
  <c r="H121" i="1"/>
  <c r="I54" i="18" s="1"/>
  <c r="G121" i="1"/>
  <c r="H54" i="18" s="1"/>
  <c r="F121" i="1"/>
  <c r="G54" i="18" s="1"/>
  <c r="E121" i="1"/>
  <c r="F54" i="18" s="1"/>
  <c r="D121" i="1"/>
  <c r="E54" i="18" s="1"/>
  <c r="C121" i="1"/>
  <c r="D54" i="18" s="1"/>
  <c r="B121" i="1"/>
  <c r="C54" i="18" s="1"/>
  <c r="C106" i="1"/>
  <c r="D39" i="18" s="1"/>
  <c r="D106" i="1"/>
  <c r="E39" i="18" s="1"/>
  <c r="E106" i="1"/>
  <c r="F39" i="18" s="1"/>
  <c r="F106" i="1"/>
  <c r="G39" i="18" s="1"/>
  <c r="G106" i="1"/>
  <c r="H39" i="18" s="1"/>
  <c r="H106" i="1"/>
  <c r="I39" i="18" s="1"/>
  <c r="I106" i="1"/>
  <c r="J39" i="18" s="1"/>
  <c r="J106" i="1"/>
  <c r="K39" i="18" s="1"/>
  <c r="K106" i="1"/>
  <c r="L39" i="18" s="1"/>
  <c r="L106" i="1"/>
  <c r="M39" i="18" s="1"/>
  <c r="M106" i="1"/>
  <c r="N39" i="18" s="1"/>
  <c r="N106" i="1"/>
  <c r="O39" i="18" s="1"/>
  <c r="O106" i="1"/>
  <c r="P39" i="18" s="1"/>
  <c r="P106" i="1"/>
  <c r="Q39" i="18" s="1"/>
  <c r="Q106" i="1"/>
  <c r="R39" i="18" s="1"/>
  <c r="R106" i="1"/>
  <c r="S39" i="18" s="1"/>
  <c r="S106" i="1"/>
  <c r="T39" i="18" s="1"/>
  <c r="T106" i="1"/>
  <c r="U39" i="18" s="1"/>
  <c r="U106" i="1"/>
  <c r="V39" i="18" s="1"/>
  <c r="V106" i="1"/>
  <c r="W39" i="18" s="1"/>
  <c r="W106" i="1"/>
  <c r="X39" i="18" s="1"/>
  <c r="X106" i="1"/>
  <c r="Y39" i="18" s="1"/>
  <c r="Y106" i="1"/>
  <c r="Z39" i="18" s="1"/>
  <c r="Z106" i="1"/>
  <c r="AA39" i="18" s="1"/>
  <c r="AA106" i="1"/>
  <c r="AB39" i="18" s="1"/>
  <c r="AB106" i="1"/>
  <c r="AC39" i="18" s="1"/>
  <c r="AC106" i="1"/>
  <c r="AD39" i="18" s="1"/>
  <c r="AD106" i="1"/>
  <c r="AE39" i="18" s="1"/>
  <c r="AE106" i="1"/>
  <c r="AF39" i="18" s="1"/>
  <c r="AF106" i="1"/>
  <c r="AG39" i="18" s="1"/>
  <c r="AG106" i="1"/>
  <c r="AH39" i="18" s="1"/>
  <c r="AH106" i="1"/>
  <c r="AI39" i="18" s="1"/>
  <c r="AI106" i="1"/>
  <c r="AJ39" i="18" s="1"/>
  <c r="B106" i="1"/>
  <c r="C39" i="18" s="1"/>
  <c r="B142" i="1"/>
  <c r="B98" i="1"/>
  <c r="B32" i="8" s="1"/>
  <c r="C32" i="8" s="1"/>
  <c r="D32" i="8" s="1"/>
  <c r="E32" i="8" s="1"/>
  <c r="F32" i="8" s="1"/>
  <c r="G32" i="8" s="1"/>
  <c r="H32" i="8" s="1"/>
  <c r="I32" i="8" s="1"/>
  <c r="J32" i="8" s="1"/>
  <c r="K32" i="8" s="1"/>
  <c r="L32" i="8" s="1"/>
  <c r="M32" i="8" s="1"/>
  <c r="N32" i="8" s="1"/>
  <c r="O32" i="8" s="1"/>
  <c r="P32" i="8" s="1"/>
  <c r="Q32" i="8" s="1"/>
  <c r="R32" i="8" s="1"/>
  <c r="S32" i="8" s="1"/>
  <c r="T32" i="8" s="1"/>
  <c r="U32" i="8" s="1"/>
  <c r="V32" i="8" s="1"/>
  <c r="W32" i="8" s="1"/>
  <c r="X32" i="8" s="1"/>
  <c r="Y32" i="8" s="1"/>
  <c r="Z32" i="8" s="1"/>
  <c r="AA32" i="8" s="1"/>
  <c r="AB32" i="8" s="1"/>
  <c r="AC32" i="8" s="1"/>
  <c r="AD32" i="8" s="1"/>
  <c r="AE32" i="8" s="1"/>
  <c r="AF32" i="8" s="1"/>
  <c r="AG32" i="8" s="1"/>
  <c r="AH32" i="8" s="1"/>
  <c r="AI32" i="8" s="1"/>
  <c r="B57" i="1"/>
  <c r="B78" i="1" s="1"/>
  <c r="B13" i="5" l="1"/>
  <c r="B26" i="5"/>
  <c r="B24" i="5" s="1"/>
  <c r="B22" i="5"/>
  <c r="B20" i="5" s="1"/>
  <c r="B83" i="5"/>
  <c r="B81" i="5" s="1"/>
  <c r="B85" i="5" s="1"/>
  <c r="B79" i="5"/>
  <c r="B77" i="5" s="1"/>
  <c r="B70" i="5"/>
  <c r="J17" i="18"/>
  <c r="K17" i="18"/>
  <c r="L17" i="18"/>
  <c r="M17" i="18"/>
  <c r="N17" i="18"/>
  <c r="O17" i="18"/>
  <c r="P17" i="18"/>
  <c r="Q17" i="18"/>
  <c r="R17" i="18"/>
  <c r="S17" i="18"/>
  <c r="T17" i="18"/>
  <c r="U17" i="18"/>
  <c r="V17" i="18"/>
  <c r="W17" i="18"/>
  <c r="X17" i="18"/>
  <c r="Y17" i="18"/>
  <c r="Z17" i="18"/>
  <c r="AA17" i="18"/>
  <c r="AB17" i="18"/>
  <c r="AC17" i="18"/>
  <c r="AD17" i="18"/>
  <c r="AE17" i="18"/>
  <c r="AF17" i="18"/>
  <c r="AG17" i="18"/>
  <c r="AH17" i="18"/>
  <c r="AI17" i="18"/>
  <c r="AJ17" i="18"/>
  <c r="AK17" i="18"/>
  <c r="J18" i="18"/>
  <c r="K18" i="18"/>
  <c r="L18" i="18"/>
  <c r="M18" i="18"/>
  <c r="N18" i="18"/>
  <c r="O18" i="18"/>
  <c r="P18" i="18"/>
  <c r="Q18" i="18"/>
  <c r="R18" i="18"/>
  <c r="S18" i="18"/>
  <c r="T18" i="18"/>
  <c r="U18" i="18"/>
  <c r="V18" i="18"/>
  <c r="W18" i="18"/>
  <c r="X18" i="18"/>
  <c r="Y18" i="18"/>
  <c r="Z18" i="18"/>
  <c r="AA18" i="18"/>
  <c r="AB18" i="18"/>
  <c r="AC18" i="18"/>
  <c r="AD18" i="18"/>
  <c r="AE18" i="18"/>
  <c r="AF18" i="18"/>
  <c r="AG18" i="18"/>
  <c r="AH18" i="18"/>
  <c r="AI18" i="18"/>
  <c r="AJ18" i="18"/>
  <c r="AK18" i="18"/>
  <c r="J19" i="18"/>
  <c r="K19" i="18"/>
  <c r="L19" i="18"/>
  <c r="M19" i="18"/>
  <c r="N19" i="18"/>
  <c r="O19" i="18"/>
  <c r="P19" i="18"/>
  <c r="Q19" i="18"/>
  <c r="R19" i="18"/>
  <c r="S19" i="18"/>
  <c r="T19" i="18"/>
  <c r="U19" i="18"/>
  <c r="V19" i="18"/>
  <c r="W19" i="18"/>
  <c r="X19" i="18"/>
  <c r="Y19" i="18"/>
  <c r="Z19" i="18"/>
  <c r="AA19" i="18"/>
  <c r="AB19" i="18"/>
  <c r="AC19" i="18"/>
  <c r="AD19" i="18"/>
  <c r="AE19" i="18"/>
  <c r="AF19" i="18"/>
  <c r="AG19" i="18"/>
  <c r="AH19" i="18"/>
  <c r="AI19" i="18"/>
  <c r="AJ19" i="18"/>
  <c r="AK19" i="18"/>
  <c r="J24" i="18"/>
  <c r="K24" i="18"/>
  <c r="L24" i="18"/>
  <c r="M24" i="18"/>
  <c r="N24" i="18"/>
  <c r="O24" i="18"/>
  <c r="P24" i="18"/>
  <c r="Q24" i="18"/>
  <c r="R24" i="18"/>
  <c r="S24" i="18"/>
  <c r="T24" i="18"/>
  <c r="U24" i="18"/>
  <c r="V24" i="18"/>
  <c r="W24" i="18"/>
  <c r="X24" i="18"/>
  <c r="Y24" i="18"/>
  <c r="Z24" i="18"/>
  <c r="AA24" i="18"/>
  <c r="AB24" i="18"/>
  <c r="AC24" i="18"/>
  <c r="AD24" i="18"/>
  <c r="AE24" i="18"/>
  <c r="AF24" i="18"/>
  <c r="AG24" i="18"/>
  <c r="AH24" i="18"/>
  <c r="AI24" i="18"/>
  <c r="AJ24" i="18"/>
  <c r="AK24" i="18"/>
  <c r="J25" i="18"/>
  <c r="K25" i="18"/>
  <c r="L25" i="18"/>
  <c r="M25" i="18"/>
  <c r="N25" i="18"/>
  <c r="O25" i="18"/>
  <c r="P25" i="18"/>
  <c r="Q25" i="18"/>
  <c r="R25" i="18"/>
  <c r="S25" i="18"/>
  <c r="T25" i="18"/>
  <c r="U25" i="18"/>
  <c r="V25" i="18"/>
  <c r="W25" i="18"/>
  <c r="X25" i="18"/>
  <c r="Y25" i="18"/>
  <c r="Z25" i="18"/>
  <c r="AA25" i="18"/>
  <c r="AB25" i="18"/>
  <c r="AC25" i="18"/>
  <c r="AD25" i="18"/>
  <c r="AE25" i="18"/>
  <c r="AF25" i="18"/>
  <c r="AG25" i="18"/>
  <c r="AH25" i="18"/>
  <c r="AI25" i="18"/>
  <c r="AJ25" i="18"/>
  <c r="AK25" i="18"/>
  <c r="J26" i="18"/>
  <c r="K26" i="18"/>
  <c r="L26" i="18"/>
  <c r="M26" i="18"/>
  <c r="N26" i="18"/>
  <c r="O26" i="18"/>
  <c r="P26" i="18"/>
  <c r="Q26" i="18"/>
  <c r="R26" i="18"/>
  <c r="S26" i="18"/>
  <c r="T26" i="18"/>
  <c r="U26" i="18"/>
  <c r="V26" i="18"/>
  <c r="W26" i="18"/>
  <c r="X26" i="18"/>
  <c r="Y26" i="18"/>
  <c r="Z26" i="18"/>
  <c r="AA26" i="18"/>
  <c r="AB26" i="18"/>
  <c r="AC26" i="18"/>
  <c r="AD26" i="18"/>
  <c r="AE26" i="18"/>
  <c r="AF26" i="18"/>
  <c r="AG26" i="18"/>
  <c r="AH26" i="18"/>
  <c r="AI26" i="18"/>
  <c r="AJ26" i="18"/>
  <c r="AK26" i="18"/>
  <c r="J27" i="18"/>
  <c r="K27" i="18"/>
  <c r="L27" i="18"/>
  <c r="M27" i="18"/>
  <c r="N27" i="18"/>
  <c r="O27" i="18"/>
  <c r="P27" i="18"/>
  <c r="Q27" i="18"/>
  <c r="R27" i="18"/>
  <c r="S27" i="18"/>
  <c r="T27" i="18"/>
  <c r="U27" i="18"/>
  <c r="V27" i="18"/>
  <c r="W27" i="18"/>
  <c r="X27" i="18"/>
  <c r="Y27" i="18"/>
  <c r="Z27" i="18"/>
  <c r="AA27" i="18"/>
  <c r="AB27" i="18"/>
  <c r="AC27" i="18"/>
  <c r="AD27" i="18"/>
  <c r="AE27" i="18"/>
  <c r="AF27" i="18"/>
  <c r="AG27" i="18"/>
  <c r="AH27" i="18"/>
  <c r="AI27" i="18"/>
  <c r="AJ27" i="18"/>
  <c r="AK27" i="18"/>
  <c r="J28" i="18"/>
  <c r="K28" i="18"/>
  <c r="L28" i="18"/>
  <c r="M28" i="18"/>
  <c r="N28" i="18"/>
  <c r="O28" i="18"/>
  <c r="P28" i="18"/>
  <c r="Q28" i="18"/>
  <c r="R28" i="18"/>
  <c r="S28" i="18"/>
  <c r="T28" i="18"/>
  <c r="U28" i="18"/>
  <c r="V28" i="18"/>
  <c r="W28" i="18"/>
  <c r="X28" i="18"/>
  <c r="Y28" i="18"/>
  <c r="Z28" i="18"/>
  <c r="AA28" i="18"/>
  <c r="AB28" i="18"/>
  <c r="AC28" i="18"/>
  <c r="AD28" i="18"/>
  <c r="AE28" i="18"/>
  <c r="AF28" i="18"/>
  <c r="AG28" i="18"/>
  <c r="AH28" i="18"/>
  <c r="AI28" i="18"/>
  <c r="AJ28" i="18"/>
  <c r="AK28" i="18"/>
  <c r="J29" i="18"/>
  <c r="K29" i="18"/>
  <c r="L29" i="18"/>
  <c r="M29" i="18"/>
  <c r="N29" i="18"/>
  <c r="O29" i="18"/>
  <c r="P29" i="18"/>
  <c r="Q29" i="18"/>
  <c r="R29" i="18"/>
  <c r="S29" i="18"/>
  <c r="T29" i="18"/>
  <c r="U29" i="18"/>
  <c r="V29" i="18"/>
  <c r="W29" i="18"/>
  <c r="X29" i="18"/>
  <c r="Y29" i="18"/>
  <c r="Z29" i="18"/>
  <c r="AA29" i="18"/>
  <c r="AB29" i="18"/>
  <c r="AC29" i="18"/>
  <c r="AD29" i="18"/>
  <c r="AE29" i="18"/>
  <c r="AF29" i="18"/>
  <c r="AG29" i="18"/>
  <c r="AH29" i="18"/>
  <c r="AI29" i="18"/>
  <c r="AJ29" i="18"/>
  <c r="AK29" i="18"/>
  <c r="B28" i="5" l="1"/>
  <c r="B149" i="5" s="1"/>
  <c r="Q55" i="1"/>
  <c r="Q56" i="1" s="1"/>
  <c r="P55" i="1"/>
  <c r="P56" i="1" s="1"/>
  <c r="O55" i="1"/>
  <c r="O56" i="1" s="1"/>
  <c r="N55" i="1"/>
  <c r="N56" i="1" s="1"/>
  <c r="R54" i="1"/>
  <c r="S54" i="1" s="1"/>
  <c r="R53" i="1"/>
  <c r="S53" i="1" s="1"/>
  <c r="R52" i="1"/>
  <c r="S52" i="1" s="1"/>
  <c r="R51" i="1"/>
  <c r="S51" i="1" s="1"/>
  <c r="R50" i="1"/>
  <c r="S50" i="1" s="1"/>
  <c r="R49" i="1"/>
  <c r="S49" i="1" s="1"/>
  <c r="R48" i="1"/>
  <c r="S48" i="1" s="1"/>
  <c r="R47" i="1"/>
  <c r="S47" i="1" s="1"/>
  <c r="R46" i="1"/>
  <c r="S46" i="1" s="1"/>
  <c r="R45" i="1"/>
  <c r="R55" i="1" l="1"/>
  <c r="S45" i="1"/>
  <c r="S55" i="1" s="1"/>
  <c r="H49" i="5"/>
  <c r="I49" i="5" s="1"/>
  <c r="G49" i="5"/>
  <c r="F49" i="5"/>
  <c r="E49" i="5"/>
  <c r="D49" i="5"/>
  <c r="C49" i="5"/>
  <c r="B49" i="5"/>
  <c r="B51" i="5"/>
  <c r="B50" i="5"/>
  <c r="E5" i="17"/>
  <c r="C44" i="5" l="1"/>
  <c r="F44" i="5"/>
  <c r="G44" i="5"/>
  <c r="H44" i="5"/>
  <c r="I44" i="5" s="1"/>
  <c r="E44" i="5"/>
  <c r="D44" i="5"/>
  <c r="B44" i="5"/>
  <c r="C46" i="5"/>
  <c r="D46" i="5"/>
  <c r="E46" i="5"/>
  <c r="F46" i="5"/>
  <c r="G46" i="5"/>
  <c r="H46" i="5"/>
  <c r="I46" i="5" s="1"/>
  <c r="J46" i="5" s="1"/>
  <c r="K46" i="5" s="1"/>
  <c r="L46" i="5" s="1"/>
  <c r="M46" i="5" s="1"/>
  <c r="N46" i="5" s="1"/>
  <c r="O46" i="5" s="1"/>
  <c r="P46" i="5" s="1"/>
  <c r="Q46" i="5" s="1"/>
  <c r="R46" i="5" s="1"/>
  <c r="S46" i="5" s="1"/>
  <c r="T46" i="5" s="1"/>
  <c r="U46" i="5" s="1"/>
  <c r="V46" i="5" s="1"/>
  <c r="W46" i="5" s="1"/>
  <c r="X46" i="5" s="1"/>
  <c r="Y46" i="5" s="1"/>
  <c r="Z46" i="5" s="1"/>
  <c r="AA46" i="5" s="1"/>
  <c r="AB46" i="5" s="1"/>
  <c r="AC46" i="5" s="1"/>
  <c r="AD46" i="5" s="1"/>
  <c r="AE46" i="5" s="1"/>
  <c r="AF46" i="5" s="1"/>
  <c r="AG46" i="5" s="1"/>
  <c r="AH46" i="5" s="1"/>
  <c r="AI46" i="5" s="1"/>
  <c r="B46" i="5"/>
  <c r="C45" i="5"/>
  <c r="D45" i="5"/>
  <c r="E45" i="5"/>
  <c r="F45" i="5"/>
  <c r="G45" i="5"/>
  <c r="H45" i="5"/>
  <c r="I45" i="5" s="1"/>
  <c r="J45" i="5" s="1"/>
  <c r="K45" i="5" s="1"/>
  <c r="L45" i="5" s="1"/>
  <c r="M45" i="5" s="1"/>
  <c r="N45" i="5" s="1"/>
  <c r="O45" i="5" s="1"/>
  <c r="P45" i="5" s="1"/>
  <c r="Q45" i="5" s="1"/>
  <c r="R45" i="5" s="1"/>
  <c r="S45" i="5" s="1"/>
  <c r="T45" i="5" s="1"/>
  <c r="U45" i="5" s="1"/>
  <c r="V45" i="5" s="1"/>
  <c r="W45" i="5" s="1"/>
  <c r="X45" i="5" s="1"/>
  <c r="Y45" i="5" s="1"/>
  <c r="Z45" i="5" s="1"/>
  <c r="AA45" i="5" s="1"/>
  <c r="AB45" i="5" s="1"/>
  <c r="AC45" i="5" s="1"/>
  <c r="AD45" i="5" s="1"/>
  <c r="AE45" i="5" s="1"/>
  <c r="AF45" i="5" s="1"/>
  <c r="AG45" i="5" s="1"/>
  <c r="AH45" i="5" s="1"/>
  <c r="AI45" i="5" s="1"/>
  <c r="B45" i="5"/>
  <c r="I156" i="8" l="1"/>
  <c r="I155" i="8" s="1"/>
  <c r="I154" i="8"/>
  <c r="J154" i="8"/>
  <c r="AK79" i="18"/>
  <c r="C79" i="18"/>
  <c r="E67" i="18"/>
  <c r="F67" i="18"/>
  <c r="G67" i="18"/>
  <c r="H67" i="18"/>
  <c r="I67" i="18"/>
  <c r="J67" i="18"/>
  <c r="L67" i="18"/>
  <c r="M67" i="18"/>
  <c r="D67" i="18"/>
  <c r="F64" i="18"/>
  <c r="G64" i="18"/>
  <c r="H64" i="18"/>
  <c r="I64" i="18"/>
  <c r="J64" i="18"/>
  <c r="K64" i="18"/>
  <c r="L64" i="18"/>
  <c r="M64" i="18"/>
  <c r="N64" i="18"/>
  <c r="O64" i="18"/>
  <c r="P64" i="18"/>
  <c r="Q64" i="18"/>
  <c r="R64" i="18"/>
  <c r="S64" i="18"/>
  <c r="T64" i="18"/>
  <c r="U64" i="18"/>
  <c r="V64" i="18"/>
  <c r="W64" i="18"/>
  <c r="X64" i="18"/>
  <c r="Y64" i="18"/>
  <c r="Z64" i="18"/>
  <c r="AA64" i="18"/>
  <c r="AB64" i="18"/>
  <c r="AC64" i="18"/>
  <c r="AD64" i="18"/>
  <c r="AE64" i="18"/>
  <c r="AF64" i="18"/>
  <c r="AG64" i="18"/>
  <c r="AH64" i="18"/>
  <c r="AI64" i="18"/>
  <c r="AJ64" i="18"/>
  <c r="AK64" i="18"/>
  <c r="E64" i="18"/>
  <c r="D64" i="18"/>
  <c r="C64" i="18"/>
  <c r="D34" i="18"/>
  <c r="E34" i="18"/>
  <c r="F34" i="18"/>
  <c r="G34" i="18"/>
  <c r="H34" i="18"/>
  <c r="I34" i="18"/>
  <c r="J34" i="18"/>
  <c r="K34" i="18"/>
  <c r="L34" i="18"/>
  <c r="M34" i="18"/>
  <c r="N34" i="18"/>
  <c r="O34" i="18"/>
  <c r="P34" i="18"/>
  <c r="Q34" i="18"/>
  <c r="R34" i="18"/>
  <c r="S34" i="18"/>
  <c r="T34" i="18"/>
  <c r="U34" i="18"/>
  <c r="V34" i="18"/>
  <c r="W34" i="18"/>
  <c r="X34" i="18"/>
  <c r="Y34" i="18"/>
  <c r="Z34" i="18"/>
  <c r="AA34" i="18"/>
  <c r="AB34" i="18"/>
  <c r="AC34" i="18"/>
  <c r="AD34" i="18"/>
  <c r="AE34" i="18"/>
  <c r="AF34" i="18"/>
  <c r="AG34" i="18"/>
  <c r="AH34" i="18"/>
  <c r="AI34" i="18"/>
  <c r="AJ34" i="18"/>
  <c r="AK34" i="18"/>
  <c r="D35" i="18"/>
  <c r="E35" i="18"/>
  <c r="F35" i="18"/>
  <c r="G35" i="18"/>
  <c r="H35" i="18"/>
  <c r="I35" i="18"/>
  <c r="J35" i="18"/>
  <c r="K35" i="18"/>
  <c r="L35" i="18"/>
  <c r="M35" i="18"/>
  <c r="N35" i="18"/>
  <c r="O35" i="18"/>
  <c r="P35" i="18"/>
  <c r="Q35" i="18"/>
  <c r="R35" i="18"/>
  <c r="S35" i="18"/>
  <c r="T35" i="18"/>
  <c r="U35" i="18"/>
  <c r="V35" i="18"/>
  <c r="W35" i="18"/>
  <c r="X35" i="18"/>
  <c r="Y35" i="18"/>
  <c r="Z35" i="18"/>
  <c r="AA35" i="18"/>
  <c r="AB35" i="18"/>
  <c r="AC35" i="18"/>
  <c r="AD35" i="18"/>
  <c r="AE35" i="18"/>
  <c r="AF35" i="18"/>
  <c r="AG35" i="18"/>
  <c r="AH35" i="18"/>
  <c r="AI35" i="18"/>
  <c r="AJ35" i="18"/>
  <c r="AK35" i="18"/>
  <c r="D36" i="18"/>
  <c r="E36" i="18"/>
  <c r="F36" i="18"/>
  <c r="G36" i="18"/>
  <c r="H36" i="18"/>
  <c r="I36" i="18"/>
  <c r="J36" i="18"/>
  <c r="K36" i="18"/>
  <c r="L36" i="18"/>
  <c r="M36" i="18"/>
  <c r="N36" i="18"/>
  <c r="O36" i="18"/>
  <c r="P36" i="18"/>
  <c r="Q36" i="18"/>
  <c r="R36" i="18"/>
  <c r="S36" i="18"/>
  <c r="T36" i="18"/>
  <c r="U36" i="18"/>
  <c r="V36" i="18"/>
  <c r="W36" i="18"/>
  <c r="X36" i="18"/>
  <c r="Y36" i="18"/>
  <c r="Z36" i="18"/>
  <c r="AA36" i="18"/>
  <c r="AB36" i="18"/>
  <c r="AC36" i="18"/>
  <c r="AD36" i="18"/>
  <c r="AE36" i="18"/>
  <c r="AF36" i="18"/>
  <c r="AG36" i="18"/>
  <c r="AH36" i="18"/>
  <c r="AI36" i="18"/>
  <c r="AJ36" i="18"/>
  <c r="AK36" i="18"/>
  <c r="D37" i="18"/>
  <c r="E37" i="18"/>
  <c r="F37" i="18"/>
  <c r="G37" i="18"/>
  <c r="H37" i="18"/>
  <c r="I37" i="18"/>
  <c r="J37" i="18"/>
  <c r="K37" i="18"/>
  <c r="L37" i="18"/>
  <c r="M37" i="18"/>
  <c r="N37" i="18"/>
  <c r="O37" i="18"/>
  <c r="P37" i="18"/>
  <c r="Q37" i="18"/>
  <c r="R37" i="18"/>
  <c r="S37" i="18"/>
  <c r="T37" i="18"/>
  <c r="U37" i="18"/>
  <c r="V37" i="18"/>
  <c r="W37" i="18"/>
  <c r="X37" i="18"/>
  <c r="Y37" i="18"/>
  <c r="Z37" i="18"/>
  <c r="AA37" i="18"/>
  <c r="AB37" i="18"/>
  <c r="AC37" i="18"/>
  <c r="AD37" i="18"/>
  <c r="AE37" i="18"/>
  <c r="AF37" i="18"/>
  <c r="AG37" i="18"/>
  <c r="AH37" i="18"/>
  <c r="AI37" i="18"/>
  <c r="AJ37" i="18"/>
  <c r="AK37" i="18"/>
  <c r="C35" i="18"/>
  <c r="B66" i="5" s="1"/>
  <c r="C36" i="18"/>
  <c r="B67" i="5" s="1"/>
  <c r="C37" i="18"/>
  <c r="B68" i="5" s="1"/>
  <c r="C34" i="18"/>
  <c r="B65" i="5" s="1"/>
  <c r="D11" i="18"/>
  <c r="E11" i="18"/>
  <c r="F11" i="18"/>
  <c r="G11" i="18"/>
  <c r="H11" i="18"/>
  <c r="I11" i="18"/>
  <c r="J11" i="18" s="1"/>
  <c r="K11" i="18" s="1"/>
  <c r="L11" i="18" s="1"/>
  <c r="M11" i="18" s="1"/>
  <c r="N11" i="18" s="1"/>
  <c r="O11" i="18" s="1"/>
  <c r="P11" i="18" s="1"/>
  <c r="Q11" i="18" s="1"/>
  <c r="R11" i="18" s="1"/>
  <c r="S11" i="18" s="1"/>
  <c r="T11" i="18" s="1"/>
  <c r="U11" i="18" s="1"/>
  <c r="V11" i="18" s="1"/>
  <c r="W11" i="18" s="1"/>
  <c r="X11" i="18" s="1"/>
  <c r="Y11" i="18" s="1"/>
  <c r="Z11" i="18" s="1"/>
  <c r="AA11" i="18" s="1"/>
  <c r="AB11" i="18" s="1"/>
  <c r="AC11" i="18" s="1"/>
  <c r="AD11" i="18" s="1"/>
  <c r="AE11" i="18" s="1"/>
  <c r="AF11" i="18" s="1"/>
  <c r="AG11" i="18" s="1"/>
  <c r="AH11" i="18" s="1"/>
  <c r="AI11" i="18" s="1"/>
  <c r="AJ11" i="18" s="1"/>
  <c r="AK11" i="18" s="1"/>
  <c r="D12" i="18"/>
  <c r="E12" i="18"/>
  <c r="F12" i="18"/>
  <c r="G12" i="18"/>
  <c r="H12" i="18"/>
  <c r="I12" i="18"/>
  <c r="J12" i="18" s="1"/>
  <c r="K12" i="18" s="1"/>
  <c r="L12" i="18" s="1"/>
  <c r="M12" i="18" s="1"/>
  <c r="N12" i="18" s="1"/>
  <c r="O12" i="18" s="1"/>
  <c r="P12" i="18" s="1"/>
  <c r="Q12" i="18" s="1"/>
  <c r="R12" i="18" s="1"/>
  <c r="S12" i="18" s="1"/>
  <c r="T12" i="18" s="1"/>
  <c r="U12" i="18" s="1"/>
  <c r="V12" i="18" s="1"/>
  <c r="W12" i="18" s="1"/>
  <c r="X12" i="18" s="1"/>
  <c r="Y12" i="18" s="1"/>
  <c r="Z12" i="18" s="1"/>
  <c r="AA12" i="18" s="1"/>
  <c r="AB12" i="18" s="1"/>
  <c r="AC12" i="18" s="1"/>
  <c r="AD12" i="18" s="1"/>
  <c r="AE12" i="18" s="1"/>
  <c r="AF12" i="18" s="1"/>
  <c r="AG12" i="18" s="1"/>
  <c r="AH12" i="18" s="1"/>
  <c r="AI12" i="18" s="1"/>
  <c r="AJ12" i="18" s="1"/>
  <c r="AK12" i="18" s="1"/>
  <c r="D13" i="18"/>
  <c r="E13" i="18"/>
  <c r="F13" i="18"/>
  <c r="G13" i="18"/>
  <c r="H13" i="18"/>
  <c r="I13" i="18"/>
  <c r="J13" i="18" s="1"/>
  <c r="K13" i="18" s="1"/>
  <c r="L13" i="18" s="1"/>
  <c r="M13" i="18" s="1"/>
  <c r="N13" i="18" s="1"/>
  <c r="O13" i="18" s="1"/>
  <c r="P13" i="18" s="1"/>
  <c r="Q13" i="18" s="1"/>
  <c r="R13" i="18" s="1"/>
  <c r="S13" i="18" s="1"/>
  <c r="T13" i="18" s="1"/>
  <c r="U13" i="18" s="1"/>
  <c r="V13" i="18" s="1"/>
  <c r="W13" i="18" s="1"/>
  <c r="X13" i="18" s="1"/>
  <c r="Y13" i="18" s="1"/>
  <c r="Z13" i="18" s="1"/>
  <c r="AA13" i="18" s="1"/>
  <c r="AB13" i="18" s="1"/>
  <c r="AC13" i="18" s="1"/>
  <c r="AD13" i="18" s="1"/>
  <c r="AE13" i="18" s="1"/>
  <c r="AF13" i="18" s="1"/>
  <c r="AG13" i="18" s="1"/>
  <c r="AH13" i="18" s="1"/>
  <c r="AI13" i="18" s="1"/>
  <c r="AJ13" i="18" s="1"/>
  <c r="AK13" i="18" s="1"/>
  <c r="D14" i="18"/>
  <c r="E14" i="18"/>
  <c r="F14" i="18"/>
  <c r="G14" i="18"/>
  <c r="H14" i="18"/>
  <c r="I14" i="18"/>
  <c r="J14" i="18" s="1"/>
  <c r="K14" i="18" s="1"/>
  <c r="L14" i="18" s="1"/>
  <c r="M14" i="18" s="1"/>
  <c r="N14" i="18" s="1"/>
  <c r="O14" i="18" s="1"/>
  <c r="P14" i="18" s="1"/>
  <c r="Q14" i="18" s="1"/>
  <c r="R14" i="18" s="1"/>
  <c r="S14" i="18" s="1"/>
  <c r="T14" i="18" s="1"/>
  <c r="U14" i="18" s="1"/>
  <c r="V14" i="18" s="1"/>
  <c r="W14" i="18" s="1"/>
  <c r="X14" i="18" s="1"/>
  <c r="Y14" i="18" s="1"/>
  <c r="Z14" i="18" s="1"/>
  <c r="AA14" i="18" s="1"/>
  <c r="AB14" i="18" s="1"/>
  <c r="AC14" i="18" s="1"/>
  <c r="AD14" i="18" s="1"/>
  <c r="AE14" i="18" s="1"/>
  <c r="AF14" i="18" s="1"/>
  <c r="AG14" i="18" s="1"/>
  <c r="AH14" i="18" s="1"/>
  <c r="AI14" i="18" s="1"/>
  <c r="AJ14" i="18" s="1"/>
  <c r="AK14" i="18" s="1"/>
  <c r="C12" i="18"/>
  <c r="C13" i="18"/>
  <c r="C14" i="18"/>
  <c r="C11" i="18"/>
  <c r="D9" i="18"/>
  <c r="E9" i="18"/>
  <c r="F9" i="18"/>
  <c r="G9" i="18"/>
  <c r="H9" i="18"/>
  <c r="I9" i="18"/>
  <c r="J9" i="18" s="1"/>
  <c r="K9" i="18" s="1"/>
  <c r="L9" i="18" s="1"/>
  <c r="M9" i="18" s="1"/>
  <c r="N9" i="18" s="1"/>
  <c r="O9" i="18" s="1"/>
  <c r="P9" i="18" s="1"/>
  <c r="Q9" i="18" s="1"/>
  <c r="R9" i="18" s="1"/>
  <c r="S9" i="18" s="1"/>
  <c r="T9" i="18" s="1"/>
  <c r="U9" i="18" s="1"/>
  <c r="V9" i="18" s="1"/>
  <c r="W9" i="18" s="1"/>
  <c r="X9" i="18" s="1"/>
  <c r="Y9" i="18" s="1"/>
  <c r="Z9" i="18" s="1"/>
  <c r="AA9" i="18" s="1"/>
  <c r="AB9" i="18" s="1"/>
  <c r="AC9" i="18" s="1"/>
  <c r="AD9" i="18" s="1"/>
  <c r="AE9" i="18" s="1"/>
  <c r="AF9" i="18" s="1"/>
  <c r="AG9" i="18" s="1"/>
  <c r="AH9" i="18" s="1"/>
  <c r="AI9" i="18" s="1"/>
  <c r="AJ9" i="18" s="1"/>
  <c r="AK9" i="18" s="1"/>
  <c r="C9" i="18"/>
  <c r="D8" i="18"/>
  <c r="E8" i="18"/>
  <c r="F8" i="18"/>
  <c r="G8" i="18"/>
  <c r="H8" i="18"/>
  <c r="I8" i="18"/>
  <c r="J8" i="18" s="1"/>
  <c r="K8" i="18" s="1"/>
  <c r="L8" i="18" s="1"/>
  <c r="M8" i="18" s="1"/>
  <c r="N8" i="18" s="1"/>
  <c r="O8" i="18" s="1"/>
  <c r="P8" i="18" s="1"/>
  <c r="Q8" i="18" s="1"/>
  <c r="R8" i="18" s="1"/>
  <c r="S8" i="18" s="1"/>
  <c r="T8" i="18" s="1"/>
  <c r="U8" i="18" s="1"/>
  <c r="V8" i="18" s="1"/>
  <c r="W8" i="18" s="1"/>
  <c r="X8" i="18" s="1"/>
  <c r="Y8" i="18" s="1"/>
  <c r="Z8" i="18" s="1"/>
  <c r="AA8" i="18" s="1"/>
  <c r="AB8" i="18" s="1"/>
  <c r="AC8" i="18" s="1"/>
  <c r="AD8" i="18" s="1"/>
  <c r="AE8" i="18" s="1"/>
  <c r="AF8" i="18" s="1"/>
  <c r="AG8" i="18" s="1"/>
  <c r="AH8" i="18" s="1"/>
  <c r="AI8" i="18" s="1"/>
  <c r="AJ8" i="18" s="1"/>
  <c r="AK8" i="18" s="1"/>
  <c r="C8" i="18"/>
  <c r="D7" i="18"/>
  <c r="E7" i="18"/>
  <c r="F7" i="18"/>
  <c r="G7" i="18"/>
  <c r="H7" i="18"/>
  <c r="I7" i="18"/>
  <c r="J7" i="18" s="1"/>
  <c r="K7" i="18" s="1"/>
  <c r="L7" i="18" s="1"/>
  <c r="M7" i="18" s="1"/>
  <c r="N7" i="18" s="1"/>
  <c r="O7" i="18" s="1"/>
  <c r="P7" i="18" s="1"/>
  <c r="Q7" i="18" s="1"/>
  <c r="R7" i="18" s="1"/>
  <c r="S7" i="18" s="1"/>
  <c r="T7" i="18" s="1"/>
  <c r="U7" i="18" s="1"/>
  <c r="V7" i="18" s="1"/>
  <c r="W7" i="18" s="1"/>
  <c r="X7" i="18" s="1"/>
  <c r="Y7" i="18" s="1"/>
  <c r="Z7" i="18" s="1"/>
  <c r="AA7" i="18" s="1"/>
  <c r="AB7" i="18" s="1"/>
  <c r="AC7" i="18" s="1"/>
  <c r="AD7" i="18" s="1"/>
  <c r="AE7" i="18" s="1"/>
  <c r="AF7" i="18" s="1"/>
  <c r="AG7" i="18" s="1"/>
  <c r="AH7" i="18" s="1"/>
  <c r="AI7" i="18" s="1"/>
  <c r="AJ7" i="18" s="1"/>
  <c r="AK7" i="18" s="1"/>
  <c r="C7" i="18"/>
  <c r="D6" i="18"/>
  <c r="E6" i="18"/>
  <c r="F6" i="18"/>
  <c r="G6" i="18"/>
  <c r="H6" i="18"/>
  <c r="I6" i="18"/>
  <c r="J6" i="18" s="1"/>
  <c r="K6" i="18" s="1"/>
  <c r="L6" i="18" s="1"/>
  <c r="M6" i="18" s="1"/>
  <c r="N6" i="18" s="1"/>
  <c r="O6" i="18" s="1"/>
  <c r="P6" i="18" s="1"/>
  <c r="Q6" i="18" s="1"/>
  <c r="R6" i="18" s="1"/>
  <c r="S6" i="18" s="1"/>
  <c r="T6" i="18" s="1"/>
  <c r="U6" i="18" s="1"/>
  <c r="V6" i="18" s="1"/>
  <c r="W6" i="18" s="1"/>
  <c r="X6" i="18" s="1"/>
  <c r="Y6" i="18" s="1"/>
  <c r="Z6" i="18" s="1"/>
  <c r="AA6" i="18" s="1"/>
  <c r="AB6" i="18" s="1"/>
  <c r="AC6" i="18" s="1"/>
  <c r="AD6" i="18" s="1"/>
  <c r="AE6" i="18" s="1"/>
  <c r="AF6" i="18" s="1"/>
  <c r="AG6" i="18" s="1"/>
  <c r="AH6" i="18" s="1"/>
  <c r="AI6" i="18" s="1"/>
  <c r="AJ6" i="18" s="1"/>
  <c r="AK6" i="18" s="1"/>
  <c r="AK57" i="18" l="1"/>
  <c r="AK41" i="18"/>
  <c r="AK55" i="18"/>
  <c r="AK56" i="18"/>
  <c r="AK40" i="18"/>
  <c r="AK42" i="18"/>
  <c r="M16" i="23"/>
  <c r="H62" i="2"/>
  <c r="N15" i="23"/>
  <c r="I61" i="2"/>
  <c r="C42" i="18"/>
  <c r="B48" i="8" s="1"/>
  <c r="B52" i="8" s="1"/>
  <c r="C50" i="8" s="1"/>
  <c r="C51" i="8" s="1"/>
  <c r="C57" i="18"/>
  <c r="B68" i="8" s="1"/>
  <c r="C41" i="18"/>
  <c r="B42" i="8" s="1"/>
  <c r="B46" i="8" s="1"/>
  <c r="C44" i="8" s="1"/>
  <c r="C45" i="8" s="1"/>
  <c r="C56" i="18"/>
  <c r="B62" i="8" s="1"/>
  <c r="B66" i="8" s="1"/>
  <c r="C40" i="18"/>
  <c r="B36" i="8" s="1"/>
  <c r="B40" i="8" s="1"/>
  <c r="C38" i="8" s="1"/>
  <c r="C39" i="8" s="1"/>
  <c r="C55" i="18"/>
  <c r="B56" i="8" s="1"/>
  <c r="B60" i="8" s="1"/>
  <c r="M15" i="23"/>
  <c r="M14" i="23" s="1"/>
  <c r="H61" i="2"/>
  <c r="B64" i="5"/>
  <c r="H60" i="2" l="1"/>
  <c r="B76" i="5"/>
  <c r="C21" i="21" l="1"/>
  <c r="D21" i="21"/>
  <c r="E21" i="21"/>
  <c r="F21" i="21"/>
  <c r="G21" i="21"/>
  <c r="H21" i="21"/>
  <c r="I21" i="21"/>
  <c r="J21" i="21"/>
  <c r="K21" i="21"/>
  <c r="L21" i="21"/>
  <c r="M21" i="21"/>
  <c r="N21" i="21"/>
  <c r="O21" i="21"/>
  <c r="P21" i="21"/>
  <c r="Q21" i="21"/>
  <c r="R21" i="21"/>
  <c r="S21" i="21"/>
  <c r="T21" i="21"/>
  <c r="U21" i="21"/>
  <c r="V21" i="21"/>
  <c r="W21" i="21"/>
  <c r="X21" i="21"/>
  <c r="Y21" i="21"/>
  <c r="Z21" i="21"/>
  <c r="AA21" i="21"/>
  <c r="AB21" i="21"/>
  <c r="AC21" i="21"/>
  <c r="AD21" i="21"/>
  <c r="AE21" i="21"/>
  <c r="AF21" i="21"/>
  <c r="AG21" i="21"/>
  <c r="AH21" i="21"/>
  <c r="AI21" i="21"/>
  <c r="B21" i="21"/>
  <c r="D11" i="2" l="1"/>
  <c r="E11" i="2"/>
  <c r="F11" i="2"/>
  <c r="G11" i="2"/>
  <c r="H11" i="2"/>
  <c r="I11" i="2"/>
  <c r="J11" i="2"/>
  <c r="K11" i="2"/>
  <c r="L11" i="2"/>
  <c r="M11" i="2"/>
  <c r="N11" i="2"/>
  <c r="O11" i="2"/>
  <c r="P11" i="2"/>
  <c r="Q11" i="2"/>
  <c r="R11" i="2"/>
  <c r="S11" i="2"/>
  <c r="T11" i="2"/>
  <c r="U11" i="2"/>
  <c r="V11" i="2"/>
  <c r="W11" i="2"/>
  <c r="X11" i="2"/>
  <c r="Y11" i="2"/>
  <c r="Z11" i="2"/>
  <c r="AA11" i="2"/>
  <c r="AB11" i="2"/>
  <c r="AC11" i="2"/>
  <c r="AD11" i="2"/>
  <c r="AE11" i="2"/>
  <c r="AF11" i="2"/>
  <c r="AG11" i="2"/>
  <c r="AH11" i="2"/>
  <c r="AI11" i="2"/>
  <c r="C11" i="2"/>
  <c r="E23" i="2" l="1"/>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G23" i="2"/>
  <c r="AH23" i="2"/>
  <c r="AI23" i="2"/>
  <c r="C23" i="2"/>
  <c r="D23" i="2"/>
  <c r="AT21" i="19" l="1"/>
  <c r="C13" i="21" l="1"/>
  <c r="E13" i="21"/>
  <c r="G13" i="21"/>
  <c r="D13" i="21"/>
  <c r="F13" i="21"/>
  <c r="C2" i="21"/>
  <c r="A2" i="21"/>
  <c r="H13" i="21" l="1"/>
  <c r="F81" i="18"/>
  <c r="I13" i="21" l="1"/>
  <c r="J13" i="21" l="1"/>
  <c r="K13" i="21" l="1"/>
  <c r="A146" i="8"/>
  <c r="A144" i="8"/>
  <c r="A17" i="17"/>
  <c r="L13" i="21" l="1"/>
  <c r="CF27" i="19"/>
  <c r="CE27" i="19"/>
  <c r="CD27" i="19"/>
  <c r="CC27" i="19"/>
  <c r="CB27" i="19"/>
  <c r="CA27" i="19"/>
  <c r="BZ27" i="19"/>
  <c r="BY27" i="19"/>
  <c r="BX27" i="19"/>
  <c r="BW27" i="19"/>
  <c r="BV27" i="19"/>
  <c r="BU27" i="19"/>
  <c r="CG26" i="19"/>
  <c r="CG25" i="19"/>
  <c r="CG22" i="19"/>
  <c r="CG21" i="19"/>
  <c r="CF19" i="19"/>
  <c r="CE19" i="19"/>
  <c r="CD19" i="19"/>
  <c r="CC19" i="19"/>
  <c r="CB19" i="19"/>
  <c r="CA19" i="19"/>
  <c r="BZ19" i="19"/>
  <c r="BY19" i="19"/>
  <c r="BX19" i="19"/>
  <c r="BW19" i="19"/>
  <c r="BV19" i="19"/>
  <c r="BU19" i="19"/>
  <c r="CG18" i="19"/>
  <c r="CG17" i="19"/>
  <c r="CG16" i="19"/>
  <c r="CG15" i="19"/>
  <c r="CF13" i="19"/>
  <c r="CE13" i="19"/>
  <c r="CD13" i="19"/>
  <c r="CC13" i="19"/>
  <c r="CB13" i="19"/>
  <c r="CA13" i="19"/>
  <c r="BZ13" i="19"/>
  <c r="BY13" i="19"/>
  <c r="BX13" i="19"/>
  <c r="BW13" i="19"/>
  <c r="BV13" i="19"/>
  <c r="BU13" i="19"/>
  <c r="CG12" i="19"/>
  <c r="CG11" i="19"/>
  <c r="CG10" i="19"/>
  <c r="BS27" i="19"/>
  <c r="BR27" i="19"/>
  <c r="BQ27" i="19"/>
  <c r="BP27" i="19"/>
  <c r="BO27" i="19"/>
  <c r="BN27" i="19"/>
  <c r="BM27" i="19"/>
  <c r="BL27" i="19"/>
  <c r="BK27" i="19"/>
  <c r="BJ27" i="19"/>
  <c r="BI27" i="19"/>
  <c r="BH27" i="19"/>
  <c r="BT26" i="19"/>
  <c r="BT25" i="19"/>
  <c r="BT22" i="19"/>
  <c r="BT21" i="19"/>
  <c r="BS19" i="19"/>
  <c r="BR19" i="19"/>
  <c r="BQ19" i="19"/>
  <c r="BP19" i="19"/>
  <c r="BO19" i="19"/>
  <c r="BN19" i="19"/>
  <c r="BM19" i="19"/>
  <c r="BL19" i="19"/>
  <c r="BK19" i="19"/>
  <c r="BJ19" i="19"/>
  <c r="BI19" i="19"/>
  <c r="BH19" i="19"/>
  <c r="BT18" i="19"/>
  <c r="BT17" i="19"/>
  <c r="BT16" i="19"/>
  <c r="BT15" i="19"/>
  <c r="BS13" i="19"/>
  <c r="BR13" i="19"/>
  <c r="BQ13" i="19"/>
  <c r="BP13" i="19"/>
  <c r="BO13" i="19"/>
  <c r="BN13" i="19"/>
  <c r="BM13" i="19"/>
  <c r="BL13" i="19"/>
  <c r="BK13" i="19"/>
  <c r="BJ13" i="19"/>
  <c r="BI13" i="19"/>
  <c r="BH13" i="19"/>
  <c r="BT12" i="19"/>
  <c r="BT11" i="19"/>
  <c r="BT10" i="19"/>
  <c r="BF27" i="19"/>
  <c r="BE27" i="19"/>
  <c r="BD27" i="19"/>
  <c r="BC27" i="19"/>
  <c r="BB27" i="19"/>
  <c r="BA27" i="19"/>
  <c r="AZ27" i="19"/>
  <c r="AY27" i="19"/>
  <c r="AX27" i="19"/>
  <c r="AW27" i="19"/>
  <c r="AV27" i="19"/>
  <c r="AU27" i="19"/>
  <c r="BG26" i="19"/>
  <c r="BG25" i="19"/>
  <c r="BG22" i="19"/>
  <c r="BG21" i="19"/>
  <c r="BF19" i="19"/>
  <c r="BE19" i="19"/>
  <c r="BD19" i="19"/>
  <c r="BC19" i="19"/>
  <c r="BB19" i="19"/>
  <c r="BA19" i="19"/>
  <c r="AZ19" i="19"/>
  <c r="AY19" i="19"/>
  <c r="AX19" i="19"/>
  <c r="AW19" i="19"/>
  <c r="AV19" i="19"/>
  <c r="AU19" i="19"/>
  <c r="BG18" i="19"/>
  <c r="BG17" i="19"/>
  <c r="BG16" i="19"/>
  <c r="BG15" i="19"/>
  <c r="BF13" i="19"/>
  <c r="BE13" i="19"/>
  <c r="BD13" i="19"/>
  <c r="BC13" i="19"/>
  <c r="BB13" i="19"/>
  <c r="BA13" i="19"/>
  <c r="AZ13" i="19"/>
  <c r="AY13" i="19"/>
  <c r="AX13" i="19"/>
  <c r="AW13" i="19"/>
  <c r="AV13" i="19"/>
  <c r="AU13" i="19"/>
  <c r="BG12" i="19"/>
  <c r="BG11" i="19"/>
  <c r="BG10" i="19"/>
  <c r="AK50" i="1"/>
  <c r="AK45" i="1"/>
  <c r="CG27" i="19" l="1"/>
  <c r="AL50" i="1"/>
  <c r="M13" i="21"/>
  <c r="BG27" i="19"/>
  <c r="BT27" i="19"/>
  <c r="CG19" i="19"/>
  <c r="CG13" i="19"/>
  <c r="BT19" i="19"/>
  <c r="BT13" i="19"/>
  <c r="BG19" i="19"/>
  <c r="BG13" i="19"/>
  <c r="A58" i="1"/>
  <c r="D47" i="2"/>
  <c r="E47" i="2"/>
  <c r="F47" i="2"/>
  <c r="G47" i="2"/>
  <c r="H47" i="2"/>
  <c r="I47" i="2"/>
  <c r="J47" i="2"/>
  <c r="K47" i="2"/>
  <c r="L47" i="2"/>
  <c r="M47" i="2"/>
  <c r="N47" i="2"/>
  <c r="O47" i="2"/>
  <c r="P47" i="2"/>
  <c r="Q47" i="2"/>
  <c r="R47" i="2"/>
  <c r="S47" i="2"/>
  <c r="T47" i="2"/>
  <c r="U47" i="2"/>
  <c r="V47" i="2"/>
  <c r="W47" i="2"/>
  <c r="X47" i="2"/>
  <c r="Y47" i="2"/>
  <c r="Z47" i="2"/>
  <c r="AA47" i="2"/>
  <c r="AB47" i="2"/>
  <c r="AC47" i="2"/>
  <c r="AD47" i="2"/>
  <c r="AE47" i="2"/>
  <c r="AF47" i="2"/>
  <c r="AG47" i="2"/>
  <c r="AH47" i="2"/>
  <c r="AI47" i="2"/>
  <c r="C47" i="2"/>
  <c r="N13" i="21" l="1"/>
  <c r="J189" i="8"/>
  <c r="K189" i="8"/>
  <c r="L189" i="8"/>
  <c r="M189" i="8"/>
  <c r="N189" i="8"/>
  <c r="O189" i="8"/>
  <c r="P189" i="8"/>
  <c r="Q189" i="8"/>
  <c r="R189" i="8"/>
  <c r="S189" i="8"/>
  <c r="T189" i="8"/>
  <c r="U189" i="8"/>
  <c r="V189" i="8"/>
  <c r="W189" i="8"/>
  <c r="X189" i="8"/>
  <c r="Y189" i="8"/>
  <c r="Z189" i="8"/>
  <c r="AA189" i="8"/>
  <c r="AB189" i="8"/>
  <c r="AC189" i="8"/>
  <c r="AD189" i="8"/>
  <c r="AE189" i="8"/>
  <c r="AF189" i="8"/>
  <c r="AG189" i="8"/>
  <c r="AH189" i="8"/>
  <c r="AI189" i="8"/>
  <c r="L186" i="8"/>
  <c r="M186" i="8"/>
  <c r="N186" i="8"/>
  <c r="O186" i="8"/>
  <c r="P186" i="8"/>
  <c r="Q186" i="8"/>
  <c r="S186" i="8"/>
  <c r="T186" i="8"/>
  <c r="U186" i="8"/>
  <c r="V186" i="8"/>
  <c r="W186" i="8"/>
  <c r="X186" i="8"/>
  <c r="Y186" i="8"/>
  <c r="Z186" i="8"/>
  <c r="AA186" i="8"/>
  <c r="AB186" i="8"/>
  <c r="AC186" i="8"/>
  <c r="AD186" i="8"/>
  <c r="AE186" i="8"/>
  <c r="AF186" i="8"/>
  <c r="AG186" i="8"/>
  <c r="AH186" i="8"/>
  <c r="AI186" i="8"/>
  <c r="L187" i="8"/>
  <c r="M187" i="8"/>
  <c r="N187" i="8"/>
  <c r="O187" i="8"/>
  <c r="P187" i="8"/>
  <c r="Q187" i="8"/>
  <c r="R187" i="8"/>
  <c r="S187" i="8"/>
  <c r="T187" i="8"/>
  <c r="U187" i="8"/>
  <c r="V187" i="8"/>
  <c r="W187" i="8"/>
  <c r="X187" i="8"/>
  <c r="Y187" i="8"/>
  <c r="Z187" i="8"/>
  <c r="AA187" i="8"/>
  <c r="AB187" i="8"/>
  <c r="AC187" i="8"/>
  <c r="AD187" i="8"/>
  <c r="AE187" i="8"/>
  <c r="AF187" i="8"/>
  <c r="AG187" i="8"/>
  <c r="AH187" i="8"/>
  <c r="AI187" i="8"/>
  <c r="J186" i="8"/>
  <c r="K186" i="8"/>
  <c r="J187" i="8"/>
  <c r="K187" i="8"/>
  <c r="J181" i="8"/>
  <c r="K181" i="8"/>
  <c r="L181" i="8"/>
  <c r="M181" i="8"/>
  <c r="N181" i="8"/>
  <c r="O181" i="8"/>
  <c r="P181" i="8"/>
  <c r="Q181" i="8"/>
  <c r="R181" i="8"/>
  <c r="S181" i="8"/>
  <c r="T181" i="8"/>
  <c r="U181" i="8"/>
  <c r="V181" i="8"/>
  <c r="W181" i="8"/>
  <c r="X181" i="8"/>
  <c r="Y181" i="8"/>
  <c r="Z181" i="8"/>
  <c r="AA181" i="8"/>
  <c r="AB181" i="8"/>
  <c r="AC181" i="8"/>
  <c r="AD181" i="8"/>
  <c r="AE181" i="8"/>
  <c r="AF181" i="8"/>
  <c r="AG181" i="8"/>
  <c r="AH181" i="8"/>
  <c r="AI181" i="8"/>
  <c r="J178" i="8"/>
  <c r="K178" i="8"/>
  <c r="L178" i="8"/>
  <c r="M178" i="8"/>
  <c r="N178" i="8"/>
  <c r="O178" i="8"/>
  <c r="P178" i="8"/>
  <c r="Q178" i="8"/>
  <c r="R178" i="8"/>
  <c r="S178" i="8"/>
  <c r="T178" i="8"/>
  <c r="U178" i="8"/>
  <c r="V178" i="8"/>
  <c r="W178" i="8"/>
  <c r="X178" i="8"/>
  <c r="Y178" i="8"/>
  <c r="Z178" i="8"/>
  <c r="AA178" i="8"/>
  <c r="AB178" i="8"/>
  <c r="AC178" i="8"/>
  <c r="AD178" i="8"/>
  <c r="AE178" i="8"/>
  <c r="AF178" i="8"/>
  <c r="AG178" i="8"/>
  <c r="AH178" i="8"/>
  <c r="AI178" i="8"/>
  <c r="J179" i="8"/>
  <c r="K179" i="8"/>
  <c r="L179" i="8"/>
  <c r="M179" i="8"/>
  <c r="N179" i="8"/>
  <c r="O179" i="8"/>
  <c r="P179" i="8"/>
  <c r="Q179" i="8"/>
  <c r="R179" i="8"/>
  <c r="S179" i="8"/>
  <c r="T179" i="8"/>
  <c r="U179" i="8"/>
  <c r="V179" i="8"/>
  <c r="W179" i="8"/>
  <c r="X179" i="8"/>
  <c r="Y179" i="8"/>
  <c r="Z179" i="8"/>
  <c r="AA179" i="8"/>
  <c r="AB179" i="8"/>
  <c r="AC179" i="8"/>
  <c r="AD179" i="8"/>
  <c r="AE179" i="8"/>
  <c r="AF179" i="8"/>
  <c r="AG179" i="8"/>
  <c r="AH179" i="8"/>
  <c r="AI179" i="8"/>
  <c r="J139" i="8"/>
  <c r="K139" i="8"/>
  <c r="L139" i="8"/>
  <c r="M139" i="8"/>
  <c r="N139" i="8"/>
  <c r="O139" i="8"/>
  <c r="P139" i="8"/>
  <c r="Q139" i="8"/>
  <c r="R139" i="8"/>
  <c r="S139" i="8"/>
  <c r="T139" i="8"/>
  <c r="U139" i="8"/>
  <c r="V139" i="8"/>
  <c r="W139" i="8"/>
  <c r="X139" i="8"/>
  <c r="Y139" i="8"/>
  <c r="Z139" i="8"/>
  <c r="AA139" i="8"/>
  <c r="AB139" i="8"/>
  <c r="AC139" i="8"/>
  <c r="AD139" i="8"/>
  <c r="AE139" i="8"/>
  <c r="AF139" i="8"/>
  <c r="AG139" i="8"/>
  <c r="AH139" i="8"/>
  <c r="AI139" i="8"/>
  <c r="J140" i="8"/>
  <c r="K140" i="8"/>
  <c r="L140" i="8"/>
  <c r="M140" i="8"/>
  <c r="N140" i="8"/>
  <c r="O140" i="8"/>
  <c r="P140" i="8"/>
  <c r="Q140" i="8"/>
  <c r="R140" i="8"/>
  <c r="S140" i="8"/>
  <c r="T140" i="8"/>
  <c r="U140" i="8"/>
  <c r="V140" i="8"/>
  <c r="W140" i="8"/>
  <c r="X140" i="8"/>
  <c r="Y140" i="8"/>
  <c r="Z140" i="8"/>
  <c r="AA140" i="8"/>
  <c r="AB140" i="8"/>
  <c r="AC140" i="8"/>
  <c r="AD140" i="8"/>
  <c r="AE140" i="8"/>
  <c r="AF140" i="8"/>
  <c r="AG140" i="8"/>
  <c r="AH140" i="8"/>
  <c r="AI140" i="8"/>
  <c r="J141" i="8"/>
  <c r="K141" i="8"/>
  <c r="L141" i="8"/>
  <c r="M141" i="8"/>
  <c r="N141" i="8"/>
  <c r="O141" i="8"/>
  <c r="P141" i="8"/>
  <c r="Q141" i="8"/>
  <c r="R141" i="8"/>
  <c r="S141" i="8"/>
  <c r="T141" i="8"/>
  <c r="U141" i="8"/>
  <c r="V141" i="8"/>
  <c r="W141" i="8"/>
  <c r="X141" i="8"/>
  <c r="Y141" i="8"/>
  <c r="Z141" i="8"/>
  <c r="AA141" i="8"/>
  <c r="AB141" i="8"/>
  <c r="AC141" i="8"/>
  <c r="AD141" i="8"/>
  <c r="AE141" i="8"/>
  <c r="AF141" i="8"/>
  <c r="AG141" i="8"/>
  <c r="AH141" i="8"/>
  <c r="AI141" i="8"/>
  <c r="J144" i="8"/>
  <c r="K144" i="8"/>
  <c r="L144" i="8"/>
  <c r="M144" i="8"/>
  <c r="N144" i="8"/>
  <c r="O144" i="8"/>
  <c r="P144" i="8"/>
  <c r="Q144" i="8"/>
  <c r="S144" i="8"/>
  <c r="T144" i="8"/>
  <c r="U144" i="8"/>
  <c r="V144" i="8"/>
  <c r="W144" i="8"/>
  <c r="X144" i="8"/>
  <c r="Y144" i="8"/>
  <c r="Z144" i="8"/>
  <c r="AA144" i="8"/>
  <c r="AB144" i="8"/>
  <c r="AC144" i="8"/>
  <c r="AD144" i="8"/>
  <c r="AE144" i="8"/>
  <c r="AF144" i="8"/>
  <c r="AG144" i="8"/>
  <c r="AH144" i="8"/>
  <c r="AI144" i="8"/>
  <c r="J145" i="8"/>
  <c r="K145" i="8"/>
  <c r="L145" i="8"/>
  <c r="M145" i="8"/>
  <c r="N145" i="8"/>
  <c r="O145" i="8"/>
  <c r="P145" i="8"/>
  <c r="Q145" i="8"/>
  <c r="R145" i="8"/>
  <c r="S145" i="8"/>
  <c r="T145" i="8"/>
  <c r="U145" i="8"/>
  <c r="V145" i="8"/>
  <c r="W145" i="8"/>
  <c r="X145" i="8"/>
  <c r="Y145" i="8"/>
  <c r="Z145" i="8"/>
  <c r="AA145" i="8"/>
  <c r="AB145" i="8"/>
  <c r="AC145" i="8"/>
  <c r="AD145" i="8"/>
  <c r="AE145" i="8"/>
  <c r="AF145" i="8"/>
  <c r="AG145" i="8"/>
  <c r="AH145" i="8"/>
  <c r="AI145" i="8"/>
  <c r="J146" i="8"/>
  <c r="K146" i="8"/>
  <c r="L146" i="8"/>
  <c r="M146" i="8"/>
  <c r="N146" i="8"/>
  <c r="O146" i="8"/>
  <c r="P146" i="8"/>
  <c r="Q146" i="8"/>
  <c r="R146" i="8"/>
  <c r="S146" i="8"/>
  <c r="T146" i="8"/>
  <c r="U146" i="8"/>
  <c r="V146" i="8"/>
  <c r="W146" i="8"/>
  <c r="X146" i="8"/>
  <c r="Y146" i="8"/>
  <c r="Z146" i="8"/>
  <c r="AA146" i="8"/>
  <c r="AB146" i="8"/>
  <c r="AC146" i="8"/>
  <c r="AD146" i="8"/>
  <c r="AE146" i="8"/>
  <c r="AF146" i="8"/>
  <c r="AG146" i="8"/>
  <c r="AH146" i="8"/>
  <c r="AI146" i="8"/>
  <c r="J149" i="8"/>
  <c r="K149" i="8"/>
  <c r="L149" i="8"/>
  <c r="M149" i="8"/>
  <c r="N149" i="8"/>
  <c r="O149" i="8"/>
  <c r="P149" i="8"/>
  <c r="Q149" i="8"/>
  <c r="R149" i="8"/>
  <c r="S149" i="8"/>
  <c r="T149" i="8"/>
  <c r="U149" i="8"/>
  <c r="V149" i="8"/>
  <c r="W149" i="8"/>
  <c r="X149" i="8"/>
  <c r="Y149" i="8"/>
  <c r="Z149" i="8"/>
  <c r="AA149" i="8"/>
  <c r="AB149" i="8"/>
  <c r="AC149" i="8"/>
  <c r="AD149" i="8"/>
  <c r="AE149" i="8"/>
  <c r="AF149" i="8"/>
  <c r="AG149" i="8"/>
  <c r="AH149" i="8"/>
  <c r="AI149" i="8"/>
  <c r="B149" i="8"/>
  <c r="B146" i="8"/>
  <c r="B111" i="8" s="1"/>
  <c r="B145" i="8"/>
  <c r="B105" i="8" s="1"/>
  <c r="B144" i="8"/>
  <c r="B99" i="8" s="1"/>
  <c r="B141" i="8"/>
  <c r="B91" i="8" s="1"/>
  <c r="B140" i="8"/>
  <c r="B139" i="8"/>
  <c r="B85" i="8" l="1"/>
  <c r="B79" i="8"/>
  <c r="B119" i="8" s="1"/>
  <c r="O13" i="21"/>
  <c r="AE147" i="8"/>
  <c r="AE142" i="8"/>
  <c r="V142" i="8"/>
  <c r="N142" i="8"/>
  <c r="O147" i="8"/>
  <c r="W147" i="8"/>
  <c r="B142" i="8"/>
  <c r="AH142" i="8"/>
  <c r="AD142" i="8"/>
  <c r="Z142" i="8"/>
  <c r="AG142" i="8"/>
  <c r="AC142" i="8"/>
  <c r="Y142" i="8"/>
  <c r="U142" i="8"/>
  <c r="Q142" i="8"/>
  <c r="M142" i="8"/>
  <c r="AI147" i="8"/>
  <c r="AA147" i="8"/>
  <c r="S147" i="8"/>
  <c r="K147" i="8"/>
  <c r="AI142" i="8"/>
  <c r="AA142" i="8"/>
  <c r="AA148" i="8" s="1"/>
  <c r="R142" i="8"/>
  <c r="J142" i="8"/>
  <c r="AI148" i="8"/>
  <c r="AF147" i="8"/>
  <c r="AB147" i="8"/>
  <c r="X147" i="8"/>
  <c r="T147" i="8"/>
  <c r="P147" i="8"/>
  <c r="L147" i="8"/>
  <c r="T142" i="8"/>
  <c r="P142" i="8"/>
  <c r="L142" i="8"/>
  <c r="AH147" i="8"/>
  <c r="AD147" i="8"/>
  <c r="Z147" i="8"/>
  <c r="V147" i="8"/>
  <c r="N147" i="8"/>
  <c r="J147" i="8"/>
  <c r="AG147" i="8"/>
  <c r="AC147" i="8"/>
  <c r="Y147" i="8"/>
  <c r="U147" i="8"/>
  <c r="Q147" i="8"/>
  <c r="M147" i="8"/>
  <c r="AF142" i="8"/>
  <c r="AB142" i="8"/>
  <c r="W142" i="8"/>
  <c r="S142" i="8"/>
  <c r="O142" i="8"/>
  <c r="K142" i="8"/>
  <c r="X142" i="8"/>
  <c r="C227" i="1"/>
  <c r="D227" i="1" s="1"/>
  <c r="E227" i="1" s="1"/>
  <c r="F227" i="1" s="1"/>
  <c r="G227" i="1" s="1"/>
  <c r="H227" i="1" s="1"/>
  <c r="I227" i="1" s="1"/>
  <c r="J227" i="1" s="1"/>
  <c r="K227" i="1" s="1"/>
  <c r="L227" i="1" s="1"/>
  <c r="M227" i="1" s="1"/>
  <c r="N227" i="1" s="1"/>
  <c r="AI150" i="8" l="1"/>
  <c r="AI23" i="21"/>
  <c r="AA150" i="8"/>
  <c r="AA23" i="21"/>
  <c r="P13" i="21"/>
  <c r="S148" i="8"/>
  <c r="AB148" i="8"/>
  <c r="V148" i="8"/>
  <c r="L148" i="8"/>
  <c r="T148" i="8"/>
  <c r="W148" i="8"/>
  <c r="AF148" i="8"/>
  <c r="J148" i="8"/>
  <c r="P148" i="8"/>
  <c r="AE148" i="8"/>
  <c r="AC148" i="8"/>
  <c r="AH148" i="8"/>
  <c r="M148" i="8"/>
  <c r="N148" i="8"/>
  <c r="K148" i="8"/>
  <c r="X148" i="8"/>
  <c r="U148" i="8"/>
  <c r="Z148" i="8"/>
  <c r="Y148" i="8"/>
  <c r="AD148" i="8"/>
  <c r="O148" i="8"/>
  <c r="Q148" i="8"/>
  <c r="AG148" i="8"/>
  <c r="AG150" i="8" l="1"/>
  <c r="AG23" i="21"/>
  <c r="O150" i="8"/>
  <c r="O23" i="21"/>
  <c r="AD150" i="8"/>
  <c r="AD23" i="21"/>
  <c r="Z150" i="8"/>
  <c r="Z23" i="21"/>
  <c r="X150" i="8"/>
  <c r="X23" i="21"/>
  <c r="N150" i="8"/>
  <c r="N23" i="21"/>
  <c r="AH150" i="8"/>
  <c r="AH23" i="21"/>
  <c r="AE150" i="8"/>
  <c r="AE23" i="21"/>
  <c r="J150" i="8"/>
  <c r="J23" i="21"/>
  <c r="W150" i="8"/>
  <c r="W23" i="21"/>
  <c r="L150" i="8"/>
  <c r="L23" i="21"/>
  <c r="S150" i="8"/>
  <c r="S23" i="21"/>
  <c r="Q150" i="8"/>
  <c r="Q23" i="21"/>
  <c r="Y150" i="8"/>
  <c r="Y23" i="21"/>
  <c r="U150" i="8"/>
  <c r="U23" i="21"/>
  <c r="K150" i="8"/>
  <c r="K23" i="21"/>
  <c r="M150" i="8"/>
  <c r="M23" i="21"/>
  <c r="AC150" i="8"/>
  <c r="AC23" i="21"/>
  <c r="P150" i="8"/>
  <c r="P23" i="21"/>
  <c r="AF150" i="8"/>
  <c r="AF23" i="21"/>
  <c r="T150" i="8"/>
  <c r="T23" i="21"/>
  <c r="V150" i="8"/>
  <c r="V23" i="21"/>
  <c r="AB150" i="8"/>
  <c r="AB23" i="21"/>
  <c r="Q13" i="21"/>
  <c r="B35" i="17"/>
  <c r="D84" i="18"/>
  <c r="G81" i="18"/>
  <c r="H81" i="18"/>
  <c r="I81" i="18"/>
  <c r="J81" i="18"/>
  <c r="K81" i="18"/>
  <c r="L81" i="18"/>
  <c r="M81" i="18"/>
  <c r="N81" i="18"/>
  <c r="O81" i="18"/>
  <c r="P81" i="18"/>
  <c r="Q81" i="18"/>
  <c r="R81" i="18"/>
  <c r="S81" i="18"/>
  <c r="T81" i="18"/>
  <c r="U81" i="18"/>
  <c r="V81" i="18"/>
  <c r="W81" i="18"/>
  <c r="X81" i="18"/>
  <c r="Y81" i="18"/>
  <c r="Z81" i="18"/>
  <c r="AA81" i="18"/>
  <c r="AB81" i="18"/>
  <c r="AC81" i="18"/>
  <c r="AD81" i="18"/>
  <c r="AE81" i="18"/>
  <c r="AF81" i="18"/>
  <c r="AG81" i="18"/>
  <c r="AH81" i="18"/>
  <c r="AI81" i="18"/>
  <c r="AJ81" i="18"/>
  <c r="AK81" i="18"/>
  <c r="E81" i="18"/>
  <c r="D81" i="18"/>
  <c r="R13" i="21" l="1"/>
  <c r="B127" i="1"/>
  <c r="C60" i="18" s="1"/>
  <c r="S13" i="21" l="1"/>
  <c r="J49" i="5"/>
  <c r="K49" i="5" s="1"/>
  <c r="L49" i="5" s="1"/>
  <c r="M49" i="5" s="1"/>
  <c r="N49" i="5" s="1"/>
  <c r="D50" i="5"/>
  <c r="E50" i="5"/>
  <c r="F50" i="5"/>
  <c r="G50" i="5"/>
  <c r="H50" i="5"/>
  <c r="I50" i="5"/>
  <c r="J50" i="5" s="1"/>
  <c r="K50" i="5" s="1"/>
  <c r="L50" i="5" s="1"/>
  <c r="M50" i="5" s="1"/>
  <c r="N50" i="5" s="1"/>
  <c r="O50" i="5" s="1"/>
  <c r="P50" i="5" s="1"/>
  <c r="Q50" i="5" s="1"/>
  <c r="R50" i="5" s="1"/>
  <c r="S50" i="5" s="1"/>
  <c r="T50" i="5" s="1"/>
  <c r="U50" i="5" s="1"/>
  <c r="V50" i="5" s="1"/>
  <c r="W50" i="5" s="1"/>
  <c r="X50" i="5" s="1"/>
  <c r="Y50" i="5" s="1"/>
  <c r="Z50" i="5" s="1"/>
  <c r="AA50" i="5" s="1"/>
  <c r="AB50" i="5" s="1"/>
  <c r="AC50" i="5" s="1"/>
  <c r="AD50" i="5" s="1"/>
  <c r="AE50" i="5" s="1"/>
  <c r="AF50" i="5" s="1"/>
  <c r="AG50" i="5" s="1"/>
  <c r="AH50" i="5" s="1"/>
  <c r="AI50" i="5" s="1"/>
  <c r="D51" i="5"/>
  <c r="E51" i="5"/>
  <c r="F51" i="5"/>
  <c r="G51" i="5"/>
  <c r="H51" i="5"/>
  <c r="I51" i="5"/>
  <c r="J51" i="5" s="1"/>
  <c r="J44" i="5"/>
  <c r="K44" i="5" s="1"/>
  <c r="L44" i="5" s="1"/>
  <c r="AK11" i="17"/>
  <c r="AI78" i="18" s="1"/>
  <c r="AK9" i="17"/>
  <c r="AK7" i="17"/>
  <c r="AI45" i="18"/>
  <c r="AJ45" i="18"/>
  <c r="AI60" i="18"/>
  <c r="AJ60" i="18"/>
  <c r="AH184" i="1"/>
  <c r="AI184" i="1"/>
  <c r="J184" i="1"/>
  <c r="J171" i="1" s="1"/>
  <c r="AF184" i="1"/>
  <c r="AG184" i="1"/>
  <c r="AA184" i="1"/>
  <c r="AB184" i="1"/>
  <c r="AC184" i="1"/>
  <c r="AD184" i="1"/>
  <c r="AE184" i="1"/>
  <c r="AG45" i="18"/>
  <c r="AH45" i="18"/>
  <c r="AG60" i="18"/>
  <c r="AH60" i="18"/>
  <c r="AB45" i="18"/>
  <c r="AC45" i="18"/>
  <c r="AD45" i="18"/>
  <c r="AE45" i="18"/>
  <c r="AF45" i="18"/>
  <c r="AB60" i="18"/>
  <c r="AC60" i="18"/>
  <c r="AD60" i="18"/>
  <c r="AE60" i="18"/>
  <c r="AF60" i="18"/>
  <c r="AK46" i="1"/>
  <c r="AL46" i="1" s="1"/>
  <c r="C142" i="1"/>
  <c r="D142" i="1" s="1"/>
  <c r="E142" i="1" s="1"/>
  <c r="F142" i="1" s="1"/>
  <c r="G142" i="1" s="1"/>
  <c r="H142" i="1" s="1"/>
  <c r="I142" i="1" s="1"/>
  <c r="J142" i="1" s="1"/>
  <c r="K142" i="1" s="1"/>
  <c r="L142" i="1" s="1"/>
  <c r="M142" i="1" s="1"/>
  <c r="N142" i="1" s="1"/>
  <c r="O142" i="1" s="1"/>
  <c r="P142" i="1" s="1"/>
  <c r="Q142" i="1" s="1"/>
  <c r="R142" i="1" s="1"/>
  <c r="S142" i="1" s="1"/>
  <c r="T142" i="1" s="1"/>
  <c r="U142" i="1" s="1"/>
  <c r="V142" i="1" s="1"/>
  <c r="W142" i="1" s="1"/>
  <c r="X142" i="1" s="1"/>
  <c r="Y142" i="1" s="1"/>
  <c r="Z142" i="1" s="1"/>
  <c r="AA142" i="1" s="1"/>
  <c r="AB142" i="1" s="1"/>
  <c r="AC142" i="1" s="1"/>
  <c r="AD142" i="1" s="1"/>
  <c r="AE142" i="1" s="1"/>
  <c r="AF142" i="1" s="1"/>
  <c r="AG142" i="1" s="1"/>
  <c r="AH142" i="1" s="1"/>
  <c r="AI142" i="1" s="1"/>
  <c r="B12" i="14" s="1"/>
  <c r="F18" i="17"/>
  <c r="G18" i="17" s="1"/>
  <c r="H18" i="17" s="1"/>
  <c r="I18" i="17" s="1"/>
  <c r="J18" i="17" s="1"/>
  <c r="K18" i="17" s="1"/>
  <c r="L18" i="17" s="1"/>
  <c r="M18" i="17" s="1"/>
  <c r="N18" i="17" s="1"/>
  <c r="O18" i="17" s="1"/>
  <c r="P18" i="17" s="1"/>
  <c r="Q18" i="17" s="1"/>
  <c r="R18" i="17" s="1"/>
  <c r="S18" i="17" s="1"/>
  <c r="T18" i="17" s="1"/>
  <c r="U18" i="17" s="1"/>
  <c r="V18" i="17" s="1"/>
  <c r="W18" i="17" s="1"/>
  <c r="X18" i="17" s="1"/>
  <c r="Y18" i="17" s="1"/>
  <c r="Z18" i="17" s="1"/>
  <c r="AA18" i="17" s="1"/>
  <c r="AB18" i="17" s="1"/>
  <c r="AC18" i="17" s="1"/>
  <c r="AD18" i="17" s="1"/>
  <c r="AE18" i="17" s="1"/>
  <c r="AF18" i="17" s="1"/>
  <c r="AG18" i="17" s="1"/>
  <c r="AH18" i="17" s="1"/>
  <c r="AI18" i="17" s="1"/>
  <c r="AJ18" i="17" s="1"/>
  <c r="AK18" i="17" s="1"/>
  <c r="AL18" i="17" s="1"/>
  <c r="F13" i="17"/>
  <c r="G13" i="17" s="1"/>
  <c r="H13" i="17" s="1"/>
  <c r="I13" i="17" s="1"/>
  <c r="J13" i="17" s="1"/>
  <c r="K13" i="17" s="1"/>
  <c r="L13" i="17" s="1"/>
  <c r="M13" i="17" s="1"/>
  <c r="N13" i="17" s="1"/>
  <c r="O13" i="17" s="1"/>
  <c r="P13" i="17" s="1"/>
  <c r="Q13" i="17" s="1"/>
  <c r="R13" i="17" s="1"/>
  <c r="S13" i="17" s="1"/>
  <c r="T13" i="17" s="1"/>
  <c r="U13" i="17" s="1"/>
  <c r="V13" i="17" s="1"/>
  <c r="W13" i="17" s="1"/>
  <c r="X13" i="17" s="1"/>
  <c r="Y13" i="17" s="1"/>
  <c r="Z13" i="17" s="1"/>
  <c r="AA13" i="17" s="1"/>
  <c r="AB13" i="17" s="1"/>
  <c r="AC13" i="17" s="1"/>
  <c r="AD13" i="17" s="1"/>
  <c r="AE13" i="17" s="1"/>
  <c r="AF13" i="17" s="1"/>
  <c r="AG13" i="17" s="1"/>
  <c r="AH13" i="17" s="1"/>
  <c r="AI13" i="17" s="1"/>
  <c r="AJ13" i="17" s="1"/>
  <c r="AK13" i="17" s="1"/>
  <c r="AL13" i="17" s="1"/>
  <c r="F10" i="17"/>
  <c r="D77" i="18" s="1"/>
  <c r="F8" i="17"/>
  <c r="D75" i="18" s="1"/>
  <c r="E6" i="17"/>
  <c r="F6" i="17" s="1"/>
  <c r="G6" i="17" s="1"/>
  <c r="H6" i="17" s="1"/>
  <c r="I6" i="17" s="1"/>
  <c r="J6" i="17" s="1"/>
  <c r="K6" i="17" s="1"/>
  <c r="L6" i="17" s="1"/>
  <c r="M6" i="17" s="1"/>
  <c r="N6" i="17" s="1"/>
  <c r="O6" i="17" s="1"/>
  <c r="P6" i="17" s="1"/>
  <c r="Q6" i="17" s="1"/>
  <c r="R6" i="17" s="1"/>
  <c r="S6" i="17" s="1"/>
  <c r="T6" i="17" s="1"/>
  <c r="U6" i="17" s="1"/>
  <c r="V6" i="17" s="1"/>
  <c r="W6" i="17" s="1"/>
  <c r="X6" i="17" s="1"/>
  <c r="Y6" i="17" s="1"/>
  <c r="Z6" i="17" s="1"/>
  <c r="AA6" i="17" s="1"/>
  <c r="AB6" i="17" s="1"/>
  <c r="AC6" i="17" s="1"/>
  <c r="AD6" i="17" s="1"/>
  <c r="AE6" i="17" s="1"/>
  <c r="AF6" i="17" s="1"/>
  <c r="AG6" i="17" s="1"/>
  <c r="AH6" i="17" s="1"/>
  <c r="AI6" i="17" s="1"/>
  <c r="AJ6" i="17" s="1"/>
  <c r="AK6" i="17" s="1"/>
  <c r="AL6" i="17" s="1"/>
  <c r="C51" i="5"/>
  <c r="C50" i="5"/>
  <c r="G70" i="18"/>
  <c r="E16" i="6" s="1"/>
  <c r="H70" i="18"/>
  <c r="F16" i="6" s="1"/>
  <c r="I70" i="18"/>
  <c r="G16" i="6" s="1"/>
  <c r="J70" i="18"/>
  <c r="H16" i="6" s="1"/>
  <c r="K70" i="18"/>
  <c r="I16" i="6" s="1"/>
  <c r="L70" i="18"/>
  <c r="J16" i="6" s="1"/>
  <c r="M70" i="18"/>
  <c r="K16" i="6" s="1"/>
  <c r="N70" i="18"/>
  <c r="L16" i="6" s="1"/>
  <c r="O70" i="18"/>
  <c r="M16" i="6" s="1"/>
  <c r="P70" i="18"/>
  <c r="N16" i="6" s="1"/>
  <c r="Q70" i="18"/>
  <c r="O16" i="6" s="1"/>
  <c r="R70" i="18"/>
  <c r="P16" i="6" s="1"/>
  <c r="S70" i="18"/>
  <c r="Q16" i="6" s="1"/>
  <c r="T70" i="18"/>
  <c r="R16" i="6" s="1"/>
  <c r="U70" i="18"/>
  <c r="S16" i="6" s="1"/>
  <c r="V70" i="18"/>
  <c r="T16" i="6" s="1"/>
  <c r="W70" i="18"/>
  <c r="U16" i="6" s="1"/>
  <c r="X70" i="18"/>
  <c r="V16" i="6" s="1"/>
  <c r="Y70" i="18"/>
  <c r="W16" i="6" s="1"/>
  <c r="Z70" i="18"/>
  <c r="X16" i="6" s="1"/>
  <c r="AA70" i="18"/>
  <c r="Y16" i="6" s="1"/>
  <c r="AB70" i="18"/>
  <c r="E70" i="18"/>
  <c r="C16" i="6" s="1"/>
  <c r="F70" i="18"/>
  <c r="D16" i="6" s="1"/>
  <c r="D70" i="18"/>
  <c r="B16" i="6" s="1"/>
  <c r="C184" i="1"/>
  <c r="C171" i="1" s="1"/>
  <c r="D184" i="1"/>
  <c r="D171" i="1" s="1"/>
  <c r="E184" i="1"/>
  <c r="G71" i="18" s="1"/>
  <c r="E8" i="6" s="1"/>
  <c r="F184" i="1"/>
  <c r="F171" i="1" s="1"/>
  <c r="G184" i="1"/>
  <c r="I71" i="18" s="1"/>
  <c r="G8" i="6" s="1"/>
  <c r="H184" i="1"/>
  <c r="J71" i="18" s="1"/>
  <c r="H8" i="6" s="1"/>
  <c r="I184" i="1"/>
  <c r="K71" i="18" s="1"/>
  <c r="I8" i="6" s="1"/>
  <c r="K184" i="1"/>
  <c r="K171" i="1" s="1"/>
  <c r="L184" i="1"/>
  <c r="N71" i="18" s="1"/>
  <c r="L8" i="6" s="1"/>
  <c r="M184" i="1"/>
  <c r="O71" i="18" s="1"/>
  <c r="M8" i="6" s="1"/>
  <c r="N184" i="1"/>
  <c r="N171" i="1" s="1"/>
  <c r="O184" i="1"/>
  <c r="O171" i="1" s="1"/>
  <c r="P184" i="1"/>
  <c r="P171" i="1" s="1"/>
  <c r="Q184" i="1"/>
  <c r="S71" i="18" s="1"/>
  <c r="Q8" i="6" s="1"/>
  <c r="R184" i="1"/>
  <c r="T71" i="18" s="1"/>
  <c r="R8" i="6" s="1"/>
  <c r="S184" i="1"/>
  <c r="S171" i="1" s="1"/>
  <c r="U184" i="1"/>
  <c r="W71" i="18" s="1"/>
  <c r="U8" i="6" s="1"/>
  <c r="V184" i="1"/>
  <c r="X71" i="18" s="1"/>
  <c r="V8" i="6" s="1"/>
  <c r="W184" i="1"/>
  <c r="Y71" i="18" s="1"/>
  <c r="W8" i="6" s="1"/>
  <c r="X184" i="1"/>
  <c r="Y184" i="1"/>
  <c r="Z184" i="1"/>
  <c r="B184" i="1"/>
  <c r="D71" i="18" s="1"/>
  <c r="B8" i="6" s="1"/>
  <c r="P45" i="18"/>
  <c r="Q45" i="18"/>
  <c r="R45" i="18"/>
  <c r="S45" i="18"/>
  <c r="T45" i="18"/>
  <c r="U45" i="18"/>
  <c r="V45" i="18"/>
  <c r="W45" i="18"/>
  <c r="X45" i="18"/>
  <c r="Y45" i="18"/>
  <c r="Z45" i="18"/>
  <c r="AA45" i="18"/>
  <c r="P60" i="18"/>
  <c r="Q60" i="18"/>
  <c r="R60" i="18"/>
  <c r="S60" i="18"/>
  <c r="T60" i="18"/>
  <c r="U60" i="18"/>
  <c r="V60" i="18"/>
  <c r="W60" i="18"/>
  <c r="X60" i="18"/>
  <c r="Y60" i="18"/>
  <c r="Z60" i="18"/>
  <c r="AA60" i="18"/>
  <c r="J45" i="18"/>
  <c r="K45" i="18"/>
  <c r="L45" i="18"/>
  <c r="M45" i="18"/>
  <c r="N45" i="18"/>
  <c r="O45" i="18"/>
  <c r="J60" i="18"/>
  <c r="K60" i="18"/>
  <c r="L60" i="18"/>
  <c r="M60" i="18"/>
  <c r="N60" i="18"/>
  <c r="O60" i="18"/>
  <c r="C94" i="1"/>
  <c r="D94" i="1"/>
  <c r="E94" i="1"/>
  <c r="F94" i="1"/>
  <c r="G94" i="1"/>
  <c r="H94" i="1"/>
  <c r="B94" i="1"/>
  <c r="C57" i="1"/>
  <c r="D57" i="1" s="1"/>
  <c r="E57" i="1" s="1"/>
  <c r="F57" i="1" s="1"/>
  <c r="G57" i="1" s="1"/>
  <c r="H57" i="1" s="1"/>
  <c r="C44" i="1"/>
  <c r="C57" i="5"/>
  <c r="C58" i="5"/>
  <c r="C54" i="5"/>
  <c r="C55" i="5"/>
  <c r="B55" i="5"/>
  <c r="B179" i="8"/>
  <c r="D305" i="8"/>
  <c r="E305" i="8"/>
  <c r="F205" i="8"/>
  <c r="F20" i="2" s="1"/>
  <c r="G205" i="8"/>
  <c r="G20" i="2" s="1"/>
  <c r="H305" i="8"/>
  <c r="I205" i="8"/>
  <c r="I20" i="2" s="1"/>
  <c r="C305" i="8"/>
  <c r="B9" i="5"/>
  <c r="B11" i="5"/>
  <c r="B8" i="5"/>
  <c r="B11" i="7"/>
  <c r="B35" i="7" s="1"/>
  <c r="B8" i="7"/>
  <c r="B32" i="7" s="1"/>
  <c r="C85" i="1"/>
  <c r="D85" i="1"/>
  <c r="C93" i="1"/>
  <c r="D93" i="1"/>
  <c r="D11" i="7"/>
  <c r="D35" i="7" s="1"/>
  <c r="E11" i="7"/>
  <c r="E35" i="7" s="1"/>
  <c r="F11" i="7"/>
  <c r="F35" i="7" s="1"/>
  <c r="G11" i="7"/>
  <c r="G35" i="7" s="1"/>
  <c r="H11" i="7"/>
  <c r="H35" i="7" s="1"/>
  <c r="J11" i="7"/>
  <c r="J35" i="7" s="1"/>
  <c r="C11" i="7"/>
  <c r="C35" i="7" s="1"/>
  <c r="D8" i="7"/>
  <c r="D32" i="7" s="1"/>
  <c r="E8" i="7"/>
  <c r="E32" i="7" s="1"/>
  <c r="F8" i="7"/>
  <c r="F32" i="7" s="1"/>
  <c r="G8" i="7"/>
  <c r="G32" i="7" s="1"/>
  <c r="H8" i="7"/>
  <c r="H32" i="7" s="1"/>
  <c r="I8" i="7"/>
  <c r="I32" i="7" s="1"/>
  <c r="C8" i="7"/>
  <c r="C32" i="7" s="1"/>
  <c r="C98" i="1"/>
  <c r="D98" i="1" s="1"/>
  <c r="E98" i="1" s="1"/>
  <c r="F98" i="1" s="1"/>
  <c r="G98" i="1" s="1"/>
  <c r="H98" i="1" s="1"/>
  <c r="I98" i="1" s="1"/>
  <c r="J98" i="1" s="1"/>
  <c r="K98" i="1" s="1"/>
  <c r="L98" i="1" s="1"/>
  <c r="M98" i="1" s="1"/>
  <c r="N98" i="1" s="1"/>
  <c r="O98" i="1" s="1"/>
  <c r="P98" i="1" s="1"/>
  <c r="Q98" i="1" s="1"/>
  <c r="R98" i="1" s="1"/>
  <c r="S98" i="1" s="1"/>
  <c r="T98" i="1" s="1"/>
  <c r="U98" i="1" s="1"/>
  <c r="V98" i="1" s="1"/>
  <c r="W98" i="1" s="1"/>
  <c r="X98" i="1" s="1"/>
  <c r="Y98" i="1" s="1"/>
  <c r="Z98" i="1" s="1"/>
  <c r="AA98" i="1" s="1"/>
  <c r="AB98" i="1" s="1"/>
  <c r="AC98" i="1" s="1"/>
  <c r="AD98" i="1" s="1"/>
  <c r="AE98" i="1" s="1"/>
  <c r="AF98" i="1" s="1"/>
  <c r="AG98" i="1" s="1"/>
  <c r="AH98" i="1" s="1"/>
  <c r="AI98" i="1" s="1"/>
  <c r="AJ98" i="1" s="1"/>
  <c r="AK98" i="1" s="1"/>
  <c r="AL98" i="1" s="1"/>
  <c r="AM98" i="1" s="1"/>
  <c r="AN98" i="1" s="1"/>
  <c r="I45" i="18"/>
  <c r="I60" i="18"/>
  <c r="D45" i="18"/>
  <c r="E45" i="18"/>
  <c r="F45" i="18"/>
  <c r="G45" i="18"/>
  <c r="H45" i="18"/>
  <c r="D60" i="18"/>
  <c r="E60" i="18"/>
  <c r="F60" i="18"/>
  <c r="G60" i="18"/>
  <c r="H60" i="18"/>
  <c r="C78" i="1"/>
  <c r="D78" i="1" s="1"/>
  <c r="E78" i="1" s="1"/>
  <c r="F78" i="1" s="1"/>
  <c r="G78" i="1" s="1"/>
  <c r="H78" i="1" s="1"/>
  <c r="B86" i="1"/>
  <c r="C86" i="1"/>
  <c r="E85" i="1"/>
  <c r="F85" i="1"/>
  <c r="G85" i="1"/>
  <c r="H85" i="1"/>
  <c r="E86" i="1"/>
  <c r="F86" i="1"/>
  <c r="G86" i="1"/>
  <c r="H86" i="1"/>
  <c r="E93" i="1"/>
  <c r="F93" i="1"/>
  <c r="G93" i="1"/>
  <c r="H93" i="1"/>
  <c r="A5" i="19"/>
  <c r="T10" i="19"/>
  <c r="AJ13" i="19"/>
  <c r="CT10" i="19"/>
  <c r="T11" i="19"/>
  <c r="AG11" i="19"/>
  <c r="AT11" i="19"/>
  <c r="CT11" i="19"/>
  <c r="T12" i="19"/>
  <c r="AG12" i="19"/>
  <c r="AT12" i="19"/>
  <c r="CT12" i="19"/>
  <c r="H13" i="19"/>
  <c r="I13" i="19"/>
  <c r="J13" i="19"/>
  <c r="K13" i="19"/>
  <c r="L13" i="19"/>
  <c r="M13" i="19"/>
  <c r="N13" i="19"/>
  <c r="O13" i="19"/>
  <c r="P13" i="19"/>
  <c r="Q13" i="19"/>
  <c r="R13" i="19"/>
  <c r="S13" i="19"/>
  <c r="U13" i="19"/>
  <c r="V13" i="19"/>
  <c r="W13" i="19"/>
  <c r="Y13" i="19"/>
  <c r="AA13" i="19"/>
  <c r="AC13" i="19"/>
  <c r="AE13" i="19"/>
  <c r="AF13" i="19"/>
  <c r="AH13" i="19"/>
  <c r="AI13" i="19"/>
  <c r="AK13" i="19"/>
  <c r="AM13" i="19"/>
  <c r="AN13" i="19"/>
  <c r="AO13" i="19"/>
  <c r="AP13" i="19"/>
  <c r="AQ13" i="19"/>
  <c r="AR13" i="19"/>
  <c r="AS13" i="19"/>
  <c r="CH13" i="19"/>
  <c r="CI13" i="19"/>
  <c r="CJ13" i="19"/>
  <c r="CK13" i="19"/>
  <c r="CL13" i="19"/>
  <c r="CM13" i="19"/>
  <c r="CN13" i="19"/>
  <c r="CO13" i="19"/>
  <c r="CP13" i="19"/>
  <c r="CQ13" i="19"/>
  <c r="CR13" i="19"/>
  <c r="CS13" i="19"/>
  <c r="T15" i="19"/>
  <c r="AG15" i="19"/>
  <c r="AT15" i="19"/>
  <c r="CT15" i="19"/>
  <c r="T16" i="19"/>
  <c r="AG16" i="19"/>
  <c r="AT16" i="19"/>
  <c r="CT16" i="19"/>
  <c r="T17" i="19"/>
  <c r="AG17" i="19"/>
  <c r="AT17" i="19"/>
  <c r="CT17" i="19"/>
  <c r="T18" i="19"/>
  <c r="AG18" i="19"/>
  <c r="AT18" i="19"/>
  <c r="CT18" i="19"/>
  <c r="H19" i="19"/>
  <c r="I19" i="19"/>
  <c r="J19" i="19"/>
  <c r="K19" i="19"/>
  <c r="L19" i="19"/>
  <c r="M19" i="19"/>
  <c r="N19" i="19"/>
  <c r="O19" i="19"/>
  <c r="P19" i="19"/>
  <c r="Q19" i="19"/>
  <c r="R19" i="19"/>
  <c r="S19" i="19"/>
  <c r="U19" i="19"/>
  <c r="V19" i="19"/>
  <c r="W19" i="19"/>
  <c r="X19" i="19"/>
  <c r="Y19" i="19"/>
  <c r="Z19" i="19"/>
  <c r="AA19" i="19"/>
  <c r="AB19" i="19"/>
  <c r="AC19" i="19"/>
  <c r="AD19" i="19"/>
  <c r="AE19" i="19"/>
  <c r="AF19" i="19"/>
  <c r="AH19" i="19"/>
  <c r="AI19" i="19"/>
  <c r="AJ19" i="19"/>
  <c r="AK19" i="19"/>
  <c r="AL19" i="19"/>
  <c r="AM19" i="19"/>
  <c r="AN19" i="19"/>
  <c r="AO19" i="19"/>
  <c r="AP19" i="19"/>
  <c r="AQ19" i="19"/>
  <c r="AR19" i="19"/>
  <c r="AS19" i="19"/>
  <c r="CH19" i="19"/>
  <c r="CI19" i="19"/>
  <c r="CJ19" i="19"/>
  <c r="CK19" i="19"/>
  <c r="CL19" i="19"/>
  <c r="CM19" i="19"/>
  <c r="CN19" i="19"/>
  <c r="CO19" i="19"/>
  <c r="CP19" i="19"/>
  <c r="CQ19" i="19"/>
  <c r="CR19" i="19"/>
  <c r="CS19" i="19"/>
  <c r="CT21" i="19"/>
  <c r="AG22" i="19"/>
  <c r="AT22" i="19"/>
  <c r="CT22" i="19"/>
  <c r="T25" i="19"/>
  <c r="AG25" i="19"/>
  <c r="AT25" i="19"/>
  <c r="CT25" i="19"/>
  <c r="T26" i="19"/>
  <c r="AG26" i="19"/>
  <c r="AT26" i="19"/>
  <c r="CT26" i="19"/>
  <c r="H27" i="19"/>
  <c r="I27" i="19"/>
  <c r="J27" i="19"/>
  <c r="K27" i="19"/>
  <c r="L27" i="19"/>
  <c r="M27" i="19"/>
  <c r="N27" i="19"/>
  <c r="O27" i="19"/>
  <c r="P27" i="19"/>
  <c r="Q27" i="19"/>
  <c r="R27" i="19"/>
  <c r="S27" i="19"/>
  <c r="U27" i="19"/>
  <c r="V27" i="19"/>
  <c r="W27" i="19"/>
  <c r="X27" i="19"/>
  <c r="Y27" i="19"/>
  <c r="Z27" i="19"/>
  <c r="AA27" i="19"/>
  <c r="AB27" i="19"/>
  <c r="AC27" i="19"/>
  <c r="AD27" i="19"/>
  <c r="AE27" i="19"/>
  <c r="AF27" i="19"/>
  <c r="AH27" i="19"/>
  <c r="AI27" i="19"/>
  <c r="AJ27" i="19"/>
  <c r="AK27" i="19"/>
  <c r="AL27" i="19"/>
  <c r="AM27" i="19"/>
  <c r="AN27" i="19"/>
  <c r="AO27" i="19"/>
  <c r="AP27" i="19"/>
  <c r="AQ27" i="19"/>
  <c r="AR27" i="19"/>
  <c r="AS27" i="19"/>
  <c r="CH27" i="19"/>
  <c r="CI27" i="19"/>
  <c r="CJ27" i="19"/>
  <c r="CK27" i="19"/>
  <c r="CL27" i="19"/>
  <c r="CM27" i="19"/>
  <c r="CN27" i="19"/>
  <c r="CO27" i="19"/>
  <c r="CP27" i="19"/>
  <c r="CQ27" i="19"/>
  <c r="CR27" i="19"/>
  <c r="CS27" i="19"/>
  <c r="CW27" i="19"/>
  <c r="B34" i="2"/>
  <c r="T21" i="19"/>
  <c r="B358" i="8"/>
  <c r="C165" i="5"/>
  <c r="H165" i="5"/>
  <c r="I165" i="5"/>
  <c r="J165" i="5"/>
  <c r="P165" i="5"/>
  <c r="Q165" i="5"/>
  <c r="R165" i="5"/>
  <c r="B361" i="8"/>
  <c r="B304" i="8"/>
  <c r="A8" i="6"/>
  <c r="F45" i="13"/>
  <c r="D33" i="13"/>
  <c r="B213" i="8"/>
  <c r="B8" i="13"/>
  <c r="B7" i="13"/>
  <c r="B132" i="8"/>
  <c r="C132" i="8" s="1"/>
  <c r="D132" i="8" s="1"/>
  <c r="E132" i="8" s="1"/>
  <c r="F132" i="8" s="1"/>
  <c r="G132" i="8" s="1"/>
  <c r="H132" i="8" s="1"/>
  <c r="I132" i="8" s="1"/>
  <c r="J132" i="8" s="1"/>
  <c r="K132" i="8" s="1"/>
  <c r="L132" i="8" s="1"/>
  <c r="M132" i="8" s="1"/>
  <c r="N132" i="8" s="1"/>
  <c r="O132" i="8" s="1"/>
  <c r="P132" i="8" s="1"/>
  <c r="Q132" i="8" s="1"/>
  <c r="R132" i="8" s="1"/>
  <c r="S132" i="8" s="1"/>
  <c r="T132" i="8" s="1"/>
  <c r="U132" i="8" s="1"/>
  <c r="V132" i="8" s="1"/>
  <c r="W132" i="8" s="1"/>
  <c r="X132" i="8" s="1"/>
  <c r="Y132" i="8" s="1"/>
  <c r="Z132" i="8" s="1"/>
  <c r="AA132" i="8" s="1"/>
  <c r="AB132" i="8" s="1"/>
  <c r="AC132" i="8" s="1"/>
  <c r="AD132" i="8" s="1"/>
  <c r="AE132" i="8" s="1"/>
  <c r="AF132" i="8" s="1"/>
  <c r="AG132" i="8" s="1"/>
  <c r="AH132" i="8" s="1"/>
  <c r="AI132" i="8" s="1"/>
  <c r="B126" i="8"/>
  <c r="C126" i="8" s="1"/>
  <c r="D126" i="8" s="1"/>
  <c r="E126" i="8" s="1"/>
  <c r="F126" i="8" s="1"/>
  <c r="G126" i="8" s="1"/>
  <c r="H126" i="8" s="1"/>
  <c r="I126" i="8" s="1"/>
  <c r="J126" i="8" s="1"/>
  <c r="K126" i="8" s="1"/>
  <c r="L126" i="8" s="1"/>
  <c r="M126" i="8" s="1"/>
  <c r="N126" i="8" s="1"/>
  <c r="O126" i="8" s="1"/>
  <c r="P126" i="8" s="1"/>
  <c r="Q126" i="8" s="1"/>
  <c r="R126" i="8" s="1"/>
  <c r="S126" i="8" s="1"/>
  <c r="T126" i="8" s="1"/>
  <c r="U126" i="8" s="1"/>
  <c r="V126" i="8" s="1"/>
  <c r="W126" i="8" s="1"/>
  <c r="X126" i="8" s="1"/>
  <c r="Y126" i="8" s="1"/>
  <c r="Z126" i="8" s="1"/>
  <c r="AA126" i="8" s="1"/>
  <c r="AB126" i="8" s="1"/>
  <c r="AC126" i="8" s="1"/>
  <c r="AD126" i="8" s="1"/>
  <c r="AE126" i="8" s="1"/>
  <c r="AF126" i="8" s="1"/>
  <c r="AG126" i="8" s="1"/>
  <c r="AH126" i="8" s="1"/>
  <c r="AI126" i="8" s="1"/>
  <c r="B120" i="8"/>
  <c r="C120" i="8" s="1"/>
  <c r="D120" i="8" s="1"/>
  <c r="E120" i="8" s="1"/>
  <c r="F120" i="8" s="1"/>
  <c r="G120" i="8" s="1"/>
  <c r="H120" i="8" s="1"/>
  <c r="I120" i="8" s="1"/>
  <c r="J120" i="8" s="1"/>
  <c r="K120" i="8" s="1"/>
  <c r="L120" i="8" s="1"/>
  <c r="M120" i="8" s="1"/>
  <c r="N120" i="8" s="1"/>
  <c r="O120" i="8" s="1"/>
  <c r="P120" i="8" s="1"/>
  <c r="Q120" i="8" s="1"/>
  <c r="R120" i="8" s="1"/>
  <c r="S120" i="8" s="1"/>
  <c r="T120" i="8" s="1"/>
  <c r="U120" i="8" s="1"/>
  <c r="V120" i="8" s="1"/>
  <c r="W120" i="8" s="1"/>
  <c r="X120" i="8" s="1"/>
  <c r="Y120" i="8" s="1"/>
  <c r="Z120" i="8" s="1"/>
  <c r="AA120" i="8" s="1"/>
  <c r="AB120" i="8" s="1"/>
  <c r="AC120" i="8" s="1"/>
  <c r="AD120" i="8" s="1"/>
  <c r="AE120" i="8" s="1"/>
  <c r="AF120" i="8" s="1"/>
  <c r="AG120" i="8" s="1"/>
  <c r="AH120" i="8" s="1"/>
  <c r="AI120" i="8" s="1"/>
  <c r="B112" i="8"/>
  <c r="C112" i="8" s="1"/>
  <c r="D112" i="8" s="1"/>
  <c r="E112" i="8" s="1"/>
  <c r="F112" i="8" s="1"/>
  <c r="G112" i="8" s="1"/>
  <c r="H112" i="8" s="1"/>
  <c r="I112" i="8" s="1"/>
  <c r="J112" i="8" s="1"/>
  <c r="K112" i="8" s="1"/>
  <c r="L112" i="8" s="1"/>
  <c r="M112" i="8" s="1"/>
  <c r="N112" i="8" s="1"/>
  <c r="O112" i="8" s="1"/>
  <c r="P112" i="8" s="1"/>
  <c r="Q112" i="8" s="1"/>
  <c r="R112" i="8" s="1"/>
  <c r="S112" i="8" s="1"/>
  <c r="T112" i="8" s="1"/>
  <c r="U112" i="8" s="1"/>
  <c r="V112" i="8" s="1"/>
  <c r="W112" i="8" s="1"/>
  <c r="X112" i="8" s="1"/>
  <c r="Y112" i="8" s="1"/>
  <c r="Z112" i="8" s="1"/>
  <c r="AA112" i="8" s="1"/>
  <c r="AB112" i="8" s="1"/>
  <c r="AC112" i="8" s="1"/>
  <c r="AD112" i="8" s="1"/>
  <c r="AE112" i="8" s="1"/>
  <c r="AF112" i="8" s="1"/>
  <c r="AG112" i="8" s="1"/>
  <c r="AH112" i="8" s="1"/>
  <c r="AI112" i="8" s="1"/>
  <c r="B106" i="8"/>
  <c r="C106" i="8" s="1"/>
  <c r="D106" i="8" s="1"/>
  <c r="E106" i="8" s="1"/>
  <c r="F106" i="8" s="1"/>
  <c r="G106" i="8" s="1"/>
  <c r="H106" i="8" s="1"/>
  <c r="I106" i="8" s="1"/>
  <c r="J106" i="8" s="1"/>
  <c r="K106" i="8" s="1"/>
  <c r="L106" i="8" s="1"/>
  <c r="M106" i="8" s="1"/>
  <c r="N106" i="8" s="1"/>
  <c r="O106" i="8" s="1"/>
  <c r="P106" i="8" s="1"/>
  <c r="Q106" i="8" s="1"/>
  <c r="R106" i="8" s="1"/>
  <c r="S106" i="8" s="1"/>
  <c r="T106" i="8" s="1"/>
  <c r="U106" i="8" s="1"/>
  <c r="V106" i="8" s="1"/>
  <c r="W106" i="8" s="1"/>
  <c r="X106" i="8" s="1"/>
  <c r="Y106" i="8" s="1"/>
  <c r="Z106" i="8" s="1"/>
  <c r="AA106" i="8" s="1"/>
  <c r="AB106" i="8" s="1"/>
  <c r="AC106" i="8" s="1"/>
  <c r="AD106" i="8" s="1"/>
  <c r="AE106" i="8" s="1"/>
  <c r="AF106" i="8" s="1"/>
  <c r="AG106" i="8" s="1"/>
  <c r="AH106" i="8" s="1"/>
  <c r="AI106" i="8" s="1"/>
  <c r="B100" i="8"/>
  <c r="C100" i="8" s="1"/>
  <c r="D100" i="8" s="1"/>
  <c r="E100" i="8" s="1"/>
  <c r="F100" i="8" s="1"/>
  <c r="G100" i="8" s="1"/>
  <c r="H100" i="8" s="1"/>
  <c r="I100" i="8" s="1"/>
  <c r="J100" i="8" s="1"/>
  <c r="K100" i="8" s="1"/>
  <c r="L100" i="8" s="1"/>
  <c r="M100" i="8" s="1"/>
  <c r="N100" i="8" s="1"/>
  <c r="O100" i="8" s="1"/>
  <c r="P100" i="8" s="1"/>
  <c r="Q100" i="8" s="1"/>
  <c r="R100" i="8" s="1"/>
  <c r="S100" i="8" s="1"/>
  <c r="T100" i="8" s="1"/>
  <c r="U100" i="8" s="1"/>
  <c r="V100" i="8" s="1"/>
  <c r="W100" i="8" s="1"/>
  <c r="X100" i="8" s="1"/>
  <c r="Y100" i="8" s="1"/>
  <c r="Z100" i="8" s="1"/>
  <c r="AA100" i="8" s="1"/>
  <c r="AB100" i="8" s="1"/>
  <c r="AC100" i="8" s="1"/>
  <c r="AD100" i="8" s="1"/>
  <c r="AE100" i="8" s="1"/>
  <c r="AF100" i="8" s="1"/>
  <c r="AG100" i="8" s="1"/>
  <c r="AH100" i="8" s="1"/>
  <c r="AI100" i="8" s="1"/>
  <c r="B92" i="8"/>
  <c r="C92" i="8" s="1"/>
  <c r="D92" i="8" s="1"/>
  <c r="E92" i="8" s="1"/>
  <c r="F92" i="8" s="1"/>
  <c r="G92" i="8" s="1"/>
  <c r="H92" i="8" s="1"/>
  <c r="I92" i="8" s="1"/>
  <c r="J92" i="8" s="1"/>
  <c r="K92" i="8" s="1"/>
  <c r="L92" i="8" s="1"/>
  <c r="M92" i="8" s="1"/>
  <c r="N92" i="8" s="1"/>
  <c r="O92" i="8" s="1"/>
  <c r="P92" i="8" s="1"/>
  <c r="Q92" i="8" s="1"/>
  <c r="R92" i="8" s="1"/>
  <c r="S92" i="8" s="1"/>
  <c r="T92" i="8" s="1"/>
  <c r="U92" i="8" s="1"/>
  <c r="V92" i="8" s="1"/>
  <c r="W92" i="8" s="1"/>
  <c r="X92" i="8" s="1"/>
  <c r="Y92" i="8" s="1"/>
  <c r="Z92" i="8" s="1"/>
  <c r="AA92" i="8" s="1"/>
  <c r="AB92" i="8" s="1"/>
  <c r="AC92" i="8" s="1"/>
  <c r="AD92" i="8" s="1"/>
  <c r="AE92" i="8" s="1"/>
  <c r="AF92" i="8" s="1"/>
  <c r="AG92" i="8" s="1"/>
  <c r="AH92" i="8" s="1"/>
  <c r="AI92" i="8" s="1"/>
  <c r="B86" i="8"/>
  <c r="B80" i="8"/>
  <c r="C80" i="8" s="1"/>
  <c r="D80" i="8" s="1"/>
  <c r="E80" i="8" s="1"/>
  <c r="F80" i="8" s="1"/>
  <c r="G80" i="8" s="1"/>
  <c r="H80" i="8" s="1"/>
  <c r="I80" i="8" s="1"/>
  <c r="J80" i="8" s="1"/>
  <c r="K80" i="8" s="1"/>
  <c r="L80" i="8" s="1"/>
  <c r="M80" i="8" s="1"/>
  <c r="N80" i="8" s="1"/>
  <c r="O80" i="8" s="1"/>
  <c r="P80" i="8" s="1"/>
  <c r="Q80" i="8" s="1"/>
  <c r="R80" i="8" s="1"/>
  <c r="S80" i="8" s="1"/>
  <c r="T80" i="8" s="1"/>
  <c r="U80" i="8" s="1"/>
  <c r="V80" i="8" s="1"/>
  <c r="W80" i="8" s="1"/>
  <c r="X80" i="8" s="1"/>
  <c r="Y80" i="8" s="1"/>
  <c r="Z80" i="8" s="1"/>
  <c r="AA80" i="8" s="1"/>
  <c r="AB80" i="8" s="1"/>
  <c r="AC80" i="8" s="1"/>
  <c r="AD80" i="8" s="1"/>
  <c r="AE80" i="8" s="1"/>
  <c r="AF80" i="8" s="1"/>
  <c r="AG80" i="8" s="1"/>
  <c r="AH80" i="8" s="1"/>
  <c r="AI80" i="8" s="1"/>
  <c r="B25" i="8"/>
  <c r="B26" i="8"/>
  <c r="B27" i="8"/>
  <c r="B24" i="8"/>
  <c r="B20" i="8"/>
  <c r="B21" i="8"/>
  <c r="B22" i="8"/>
  <c r="B19" i="8"/>
  <c r="B14" i="8"/>
  <c r="B15" i="8"/>
  <c r="C15" i="8" s="1"/>
  <c r="B16" i="8"/>
  <c r="B13" i="8"/>
  <c r="B9" i="8"/>
  <c r="C9" i="8" s="1"/>
  <c r="B10" i="8"/>
  <c r="B11" i="8"/>
  <c r="B8" i="8"/>
  <c r="B42" i="5"/>
  <c r="A18" i="7"/>
  <c r="C2" i="18"/>
  <c r="B7" i="7"/>
  <c r="B57" i="5"/>
  <c r="B58" i="5"/>
  <c r="B54" i="5"/>
  <c r="B32" i="17"/>
  <c r="F5" i="17"/>
  <c r="G5" i="17" s="1"/>
  <c r="H5" i="17" s="1"/>
  <c r="I5" i="17" s="1"/>
  <c r="J5" i="17" s="1"/>
  <c r="K5" i="17" s="1"/>
  <c r="L5" i="17" s="1"/>
  <c r="M5" i="17" s="1"/>
  <c r="N5" i="17" s="1"/>
  <c r="O5" i="17" s="1"/>
  <c r="P5" i="17" s="1"/>
  <c r="Q5" i="17" s="1"/>
  <c r="R5" i="17" s="1"/>
  <c r="S5" i="17" s="1"/>
  <c r="T5" i="17" s="1"/>
  <c r="U5" i="17" s="1"/>
  <c r="V5" i="17" s="1"/>
  <c r="W5" i="17" s="1"/>
  <c r="X5" i="17" s="1"/>
  <c r="Y5" i="17" s="1"/>
  <c r="Z5" i="17" s="1"/>
  <c r="AA5" i="17" s="1"/>
  <c r="AB5" i="17" s="1"/>
  <c r="AC5" i="17" s="1"/>
  <c r="AD5" i="17" s="1"/>
  <c r="AE5" i="17" s="1"/>
  <c r="AF5" i="17" s="1"/>
  <c r="AG5" i="17" s="1"/>
  <c r="AH5" i="17" s="1"/>
  <c r="AI5" i="17" s="1"/>
  <c r="AJ5" i="17" s="1"/>
  <c r="AK5" i="17" s="1"/>
  <c r="AL5" i="17" s="1"/>
  <c r="B40" i="1"/>
  <c r="B29" i="1"/>
  <c r="D86" i="1"/>
  <c r="B5" i="8"/>
  <c r="B134" i="5"/>
  <c r="C2" i="13"/>
  <c r="B2" i="13"/>
  <c r="B122" i="8"/>
  <c r="B128" i="8"/>
  <c r="B134" i="8"/>
  <c r="B82" i="8"/>
  <c r="B88" i="8"/>
  <c r="B94" i="8"/>
  <c r="B102" i="8"/>
  <c r="B108" i="8"/>
  <c r="B114" i="8"/>
  <c r="B141" i="5"/>
  <c r="B145" i="5"/>
  <c r="A2" i="7"/>
  <c r="B2" i="7"/>
  <c r="A30" i="7"/>
  <c r="A31" i="7"/>
  <c r="A32" i="7"/>
  <c r="A33" i="7"/>
  <c r="A34" i="7"/>
  <c r="A35" i="7"/>
  <c r="A36" i="7"/>
  <c r="A37" i="7"/>
  <c r="A38" i="7"/>
  <c r="A39" i="7"/>
  <c r="A2" i="6"/>
  <c r="B2" i="6"/>
  <c r="A2" i="5"/>
  <c r="B2" i="5"/>
  <c r="A2" i="2"/>
  <c r="B2" i="2"/>
  <c r="A18" i="2"/>
  <c r="A42" i="2" s="1"/>
  <c r="A19" i="2"/>
  <c r="A43" i="2" s="1"/>
  <c r="A20" i="2"/>
  <c r="A44" i="2" s="1"/>
  <c r="B205" i="8"/>
  <c r="B20" i="2" s="1"/>
  <c r="B44" i="2" s="1"/>
  <c r="B305" i="8"/>
  <c r="B309" i="8" s="1"/>
  <c r="B308" i="8"/>
  <c r="B226" i="8" s="1"/>
  <c r="X13" i="19"/>
  <c r="AB13" i="19"/>
  <c r="AD13" i="19"/>
  <c r="Z13" i="19"/>
  <c r="AG10" i="19"/>
  <c r="AL13" i="19"/>
  <c r="AT10" i="19"/>
  <c r="AG27" i="19"/>
  <c r="T184" i="1"/>
  <c r="T171" i="1" s="1"/>
  <c r="B21" i="2"/>
  <c r="B45" i="2" s="1"/>
  <c r="C69" i="5" l="1"/>
  <c r="C75" i="5"/>
  <c r="C74" i="5"/>
  <c r="C73" i="5"/>
  <c r="C72" i="5"/>
  <c r="C71" i="5"/>
  <c r="B26" i="19"/>
  <c r="B25" i="19"/>
  <c r="C82" i="5"/>
  <c r="C83" i="5" s="1"/>
  <c r="C80" i="5"/>
  <c r="C84" i="5"/>
  <c r="C78" i="5"/>
  <c r="C79" i="5" s="1"/>
  <c r="D44" i="1"/>
  <c r="E44" i="1" s="1"/>
  <c r="F44" i="1" s="1"/>
  <c r="G44" i="1" s="1"/>
  <c r="H44" i="1" s="1"/>
  <c r="B166" i="1"/>
  <c r="B153" i="1"/>
  <c r="C153" i="1" s="1"/>
  <c r="D153" i="1" s="1"/>
  <c r="E153" i="1" s="1"/>
  <c r="F153" i="1" s="1"/>
  <c r="G153" i="1" s="1"/>
  <c r="H153" i="1" s="1"/>
  <c r="AL9" i="17"/>
  <c r="AJ76" i="18" s="1"/>
  <c r="AI76" i="18"/>
  <c r="H20" i="19"/>
  <c r="AL7" i="17"/>
  <c r="AJ74" i="18" s="1"/>
  <c r="AI74" i="18"/>
  <c r="B120" i="5"/>
  <c r="B100" i="5"/>
  <c r="B43" i="5"/>
  <c r="B113" i="5"/>
  <c r="B48" i="5"/>
  <c r="AC70" i="18"/>
  <c r="AA16" i="6" s="1"/>
  <c r="Z16" i="6"/>
  <c r="C86" i="8"/>
  <c r="D86" i="8" s="1"/>
  <c r="E86" i="8" s="1"/>
  <c r="F86" i="8" s="1"/>
  <c r="G86" i="8" s="1"/>
  <c r="H86" i="8" s="1"/>
  <c r="I86" i="8" s="1"/>
  <c r="J86" i="8" s="1"/>
  <c r="K86" i="8" s="1"/>
  <c r="L86" i="8" s="1"/>
  <c r="M86" i="8" s="1"/>
  <c r="N86" i="8" s="1"/>
  <c r="O86" i="8" s="1"/>
  <c r="P86" i="8" s="1"/>
  <c r="Q86" i="8" s="1"/>
  <c r="R86" i="8" s="1"/>
  <c r="S86" i="8" s="1"/>
  <c r="T86" i="8" s="1"/>
  <c r="U86" i="8" s="1"/>
  <c r="V86" i="8" s="1"/>
  <c r="W86" i="8" s="1"/>
  <c r="X86" i="8" s="1"/>
  <c r="Y86" i="8" s="1"/>
  <c r="Z86" i="8" s="1"/>
  <c r="AA86" i="8" s="1"/>
  <c r="AB86" i="8" s="1"/>
  <c r="AC86" i="8" s="1"/>
  <c r="AD86" i="8" s="1"/>
  <c r="AE86" i="8" s="1"/>
  <c r="AF86" i="8" s="1"/>
  <c r="AG86" i="8" s="1"/>
  <c r="AH86" i="8" s="1"/>
  <c r="AI86" i="8" s="1"/>
  <c r="C3" i="18"/>
  <c r="C31" i="18"/>
  <c r="D31" i="18" s="1"/>
  <c r="E31" i="18" s="1"/>
  <c r="F31" i="18" s="1"/>
  <c r="G31" i="18" s="1"/>
  <c r="H31" i="18" s="1"/>
  <c r="I31" i="18" s="1"/>
  <c r="J31" i="18" s="1"/>
  <c r="K31" i="18" s="1"/>
  <c r="L31" i="18" s="1"/>
  <c r="M31" i="18" s="1"/>
  <c r="N31" i="18" s="1"/>
  <c r="O31" i="18" s="1"/>
  <c r="P31" i="18" s="1"/>
  <c r="Q31" i="18" s="1"/>
  <c r="R31" i="18" s="1"/>
  <c r="S31" i="18" s="1"/>
  <c r="T31" i="18" s="1"/>
  <c r="U31" i="18" s="1"/>
  <c r="V31" i="18" s="1"/>
  <c r="W31" i="18" s="1"/>
  <c r="X31" i="18" s="1"/>
  <c r="Y31" i="18" s="1"/>
  <c r="Z31" i="18" s="1"/>
  <c r="AA31" i="18" s="1"/>
  <c r="AB31" i="18" s="1"/>
  <c r="AC31" i="18" s="1"/>
  <c r="AD31" i="18" s="1"/>
  <c r="AE31" i="18" s="1"/>
  <c r="AF31" i="18" s="1"/>
  <c r="AG31" i="18" s="1"/>
  <c r="AH31" i="18" s="1"/>
  <c r="AI31" i="18" s="1"/>
  <c r="AJ31" i="18" s="1"/>
  <c r="AK31" i="18" s="1"/>
  <c r="W171" i="1"/>
  <c r="B146" i="5"/>
  <c r="F44" i="2"/>
  <c r="G44" i="2"/>
  <c r="I44" i="2"/>
  <c r="L71" i="18"/>
  <c r="J8" i="6" s="1"/>
  <c r="Z171" i="1"/>
  <c r="AB71" i="18"/>
  <c r="Z8" i="6" s="1"/>
  <c r="Z71" i="18"/>
  <c r="X8" i="6" s="1"/>
  <c r="B13" i="14"/>
  <c r="AE171" i="1"/>
  <c r="AG71" i="18"/>
  <c r="AE8" i="6" s="1"/>
  <c r="AC171" i="1"/>
  <c r="AE71" i="18"/>
  <c r="AC8" i="6" s="1"/>
  <c r="AA171" i="1"/>
  <c r="AC71" i="18"/>
  <c r="AA8" i="6" s="1"/>
  <c r="AF171" i="1"/>
  <c r="AH71" i="18"/>
  <c r="AF8" i="6" s="1"/>
  <c r="AI171" i="1"/>
  <c r="AK71" i="18"/>
  <c r="AI8" i="6" s="1"/>
  <c r="B346" i="8"/>
  <c r="C346" i="8" s="1"/>
  <c r="D346" i="8" s="1"/>
  <c r="E346" i="8" s="1"/>
  <c r="F346" i="8" s="1"/>
  <c r="G346" i="8" s="1"/>
  <c r="H346" i="8" s="1"/>
  <c r="I346" i="8" s="1"/>
  <c r="J346" i="8" s="1"/>
  <c r="K346" i="8" s="1"/>
  <c r="L346" i="8" s="1"/>
  <c r="M346" i="8" s="1"/>
  <c r="N346" i="8" s="1"/>
  <c r="O346" i="8" s="1"/>
  <c r="P346" i="8" s="1"/>
  <c r="Q346" i="8" s="1"/>
  <c r="R346" i="8" s="1"/>
  <c r="S346" i="8" s="1"/>
  <c r="T346" i="8" s="1"/>
  <c r="U346" i="8" s="1"/>
  <c r="V346" i="8" s="1"/>
  <c r="W346" i="8" s="1"/>
  <c r="X346" i="8" s="1"/>
  <c r="Y346" i="8" s="1"/>
  <c r="Z346" i="8" s="1"/>
  <c r="AA346" i="8" s="1"/>
  <c r="AB346" i="8" s="1"/>
  <c r="AC346" i="8" s="1"/>
  <c r="AD346" i="8" s="1"/>
  <c r="AE346" i="8" s="1"/>
  <c r="AF346" i="8" s="1"/>
  <c r="AG346" i="8" s="1"/>
  <c r="AH346" i="8" s="1"/>
  <c r="AI346" i="8" s="1"/>
  <c r="B4" i="21"/>
  <c r="Y171" i="1"/>
  <c r="AA71" i="18"/>
  <c r="Y8" i="6" s="1"/>
  <c r="AD171" i="1"/>
  <c r="AF71" i="18"/>
  <c r="AD8" i="6" s="1"/>
  <c r="AB171" i="1"/>
  <c r="AD71" i="18"/>
  <c r="AB8" i="6" s="1"/>
  <c r="AG171" i="1"/>
  <c r="AI71" i="18"/>
  <c r="AG8" i="6" s="1"/>
  <c r="AH171" i="1"/>
  <c r="AJ71" i="18"/>
  <c r="AH8" i="6" s="1"/>
  <c r="T13" i="21"/>
  <c r="CV18" i="19"/>
  <c r="CV17" i="19"/>
  <c r="CV16" i="19"/>
  <c r="CV15" i="19"/>
  <c r="CV12" i="19"/>
  <c r="CV11" i="19"/>
  <c r="CV25" i="19"/>
  <c r="CV27" i="19" s="1"/>
  <c r="CV22" i="19"/>
  <c r="CV10" i="19"/>
  <c r="CV26" i="19"/>
  <c r="C27" i="8"/>
  <c r="C21" i="5"/>
  <c r="I20" i="19"/>
  <c r="J20" i="19" s="1"/>
  <c r="K20" i="19" s="1"/>
  <c r="U5" i="19"/>
  <c r="AH5" i="19" s="1"/>
  <c r="AL47" i="1"/>
  <c r="AM47" i="1" s="1"/>
  <c r="AL48" i="1"/>
  <c r="AM48" i="1" s="1"/>
  <c r="H23" i="19"/>
  <c r="I23" i="19" s="1"/>
  <c r="J23" i="19" s="1"/>
  <c r="K23" i="19" s="1"/>
  <c r="L23" i="19" s="1"/>
  <c r="M23" i="19" s="1"/>
  <c r="N23" i="19" s="1"/>
  <c r="O23" i="19" s="1"/>
  <c r="P23" i="19" s="1"/>
  <c r="Q23" i="19" s="1"/>
  <c r="R23" i="19" s="1"/>
  <c r="S23" i="19" s="1"/>
  <c r="U23" i="19" s="1"/>
  <c r="V23" i="19" s="1"/>
  <c r="W23" i="19" s="1"/>
  <c r="X23" i="19" s="1"/>
  <c r="Y23" i="19" s="1"/>
  <c r="Z23" i="19" s="1"/>
  <c r="AA23" i="19" s="1"/>
  <c r="AB23" i="19" s="1"/>
  <c r="AC23" i="19" s="1"/>
  <c r="AD23" i="19" s="1"/>
  <c r="AE23" i="19" s="1"/>
  <c r="AF23" i="19" s="1"/>
  <c r="AT13" i="19"/>
  <c r="C358" i="8"/>
  <c r="D358" i="8" s="1"/>
  <c r="E358" i="8" s="1"/>
  <c r="F358" i="8" s="1"/>
  <c r="G358" i="8" s="1"/>
  <c r="H358" i="8" s="1"/>
  <c r="I358" i="8" s="1"/>
  <c r="J358" i="8" s="1"/>
  <c r="K358" i="8" s="1"/>
  <c r="L358" i="8" s="1"/>
  <c r="M358" i="8" s="1"/>
  <c r="N358" i="8" s="1"/>
  <c r="O358" i="8" s="1"/>
  <c r="P358" i="8" s="1"/>
  <c r="Q358" i="8" s="1"/>
  <c r="R358" i="8" s="1"/>
  <c r="S358" i="8" s="1"/>
  <c r="T358" i="8" s="1"/>
  <c r="U358" i="8" s="1"/>
  <c r="V358" i="8" s="1"/>
  <c r="W358" i="8" s="1"/>
  <c r="X358" i="8" s="1"/>
  <c r="Y358" i="8" s="1"/>
  <c r="Z358" i="8" s="1"/>
  <c r="AA358" i="8" s="1"/>
  <c r="AB358" i="8" s="1"/>
  <c r="AC358" i="8" s="1"/>
  <c r="AD358" i="8" s="1"/>
  <c r="AE358" i="8" s="1"/>
  <c r="AF358" i="8" s="1"/>
  <c r="AG358" i="8" s="1"/>
  <c r="AH358" i="8" s="1"/>
  <c r="AI358" i="8" s="1"/>
  <c r="H47" i="5"/>
  <c r="AT27" i="19"/>
  <c r="AG19" i="19"/>
  <c r="CT13" i="19"/>
  <c r="AG13" i="19"/>
  <c r="U171" i="1"/>
  <c r="L171" i="1"/>
  <c r="I171" i="1"/>
  <c r="B171" i="1"/>
  <c r="X171" i="1"/>
  <c r="V71" i="18"/>
  <c r="T8" i="6" s="1"/>
  <c r="B189" i="8"/>
  <c r="B190" i="8" s="1"/>
  <c r="I47" i="5"/>
  <c r="AT19" i="19"/>
  <c r="E71" i="18"/>
  <c r="C8" i="6" s="1"/>
  <c r="B302" i="8"/>
  <c r="C302" i="8" s="1"/>
  <c r="D302" i="8" s="1"/>
  <c r="E302" i="8" s="1"/>
  <c r="F302" i="8" s="1"/>
  <c r="G302" i="8" s="1"/>
  <c r="H302" i="8" s="1"/>
  <c r="I302" i="8" s="1"/>
  <c r="J302" i="8" s="1"/>
  <c r="K302" i="8" s="1"/>
  <c r="L302" i="8" s="1"/>
  <c r="M302" i="8" s="1"/>
  <c r="N302" i="8" s="1"/>
  <c r="O302" i="8" s="1"/>
  <c r="P302" i="8" s="1"/>
  <c r="Q302" i="8" s="1"/>
  <c r="R302" i="8" s="1"/>
  <c r="S302" i="8" s="1"/>
  <c r="T302" i="8" s="1"/>
  <c r="U302" i="8" s="1"/>
  <c r="V302" i="8" s="1"/>
  <c r="W302" i="8" s="1"/>
  <c r="X302" i="8" s="1"/>
  <c r="Y302" i="8" s="1"/>
  <c r="Z302" i="8" s="1"/>
  <c r="AA302" i="8" s="1"/>
  <c r="AB302" i="8" s="1"/>
  <c r="AC302" i="8" s="1"/>
  <c r="AD302" i="8" s="1"/>
  <c r="AE302" i="8" s="1"/>
  <c r="AF302" i="8" s="1"/>
  <c r="AG302" i="8" s="1"/>
  <c r="AH302" i="8" s="1"/>
  <c r="AI302" i="8" s="1"/>
  <c r="F305" i="8"/>
  <c r="B219" i="8"/>
  <c r="C219" i="8" s="1"/>
  <c r="D219" i="8" s="1"/>
  <c r="E219" i="8" s="1"/>
  <c r="F219" i="8" s="1"/>
  <c r="G219" i="8" s="1"/>
  <c r="H219" i="8" s="1"/>
  <c r="I219" i="8" s="1"/>
  <c r="J219" i="8" s="1"/>
  <c r="K219" i="8" s="1"/>
  <c r="L219" i="8" s="1"/>
  <c r="M219" i="8" s="1"/>
  <c r="N219" i="8" s="1"/>
  <c r="O219" i="8" s="1"/>
  <c r="P219" i="8" s="1"/>
  <c r="Q219" i="8" s="1"/>
  <c r="R219" i="8" s="1"/>
  <c r="S219" i="8" s="1"/>
  <c r="T219" i="8" s="1"/>
  <c r="U219" i="8" s="1"/>
  <c r="V219" i="8" s="1"/>
  <c r="W219" i="8" s="1"/>
  <c r="X219" i="8" s="1"/>
  <c r="Y219" i="8" s="1"/>
  <c r="Z219" i="8" s="1"/>
  <c r="AA219" i="8" s="1"/>
  <c r="AB219" i="8" s="1"/>
  <c r="AC219" i="8" s="1"/>
  <c r="AD219" i="8" s="1"/>
  <c r="AE219" i="8" s="1"/>
  <c r="AF219" i="8" s="1"/>
  <c r="AG219" i="8" s="1"/>
  <c r="AH219" i="8" s="1"/>
  <c r="AI219" i="8" s="1"/>
  <c r="F12" i="17"/>
  <c r="C67" i="5"/>
  <c r="C9" i="5"/>
  <c r="C14" i="5"/>
  <c r="B144" i="5"/>
  <c r="B292" i="8"/>
  <c r="C11" i="5"/>
  <c r="B187" i="8"/>
  <c r="B195" i="8" s="1"/>
  <c r="B181" i="8"/>
  <c r="B182" i="8" s="1"/>
  <c r="C18" i="5"/>
  <c r="H205" i="8"/>
  <c r="H20" i="2" s="1"/>
  <c r="B132" i="5"/>
  <c r="D2" i="18"/>
  <c r="E2" i="18" s="1"/>
  <c r="C21" i="8"/>
  <c r="C14" i="8"/>
  <c r="H104" i="5"/>
  <c r="B117" i="5"/>
  <c r="G104" i="5"/>
  <c r="C24" i="8"/>
  <c r="B335" i="8"/>
  <c r="B10" i="5"/>
  <c r="C10" i="5" s="1"/>
  <c r="C19" i="8"/>
  <c r="E47" i="5"/>
  <c r="I11" i="7"/>
  <c r="I35" i="7" s="1"/>
  <c r="C16" i="5"/>
  <c r="B75" i="8"/>
  <c r="C75" i="8" s="1"/>
  <c r="C117" i="8" s="1"/>
  <c r="C168" i="8" s="1"/>
  <c r="B135" i="5"/>
  <c r="B203" i="8"/>
  <c r="C203" i="8" s="1"/>
  <c r="D203" i="8" s="1"/>
  <c r="E203" i="8" s="1"/>
  <c r="F203" i="8" s="1"/>
  <c r="G203" i="8" s="1"/>
  <c r="H203" i="8" s="1"/>
  <c r="I203" i="8" s="1"/>
  <c r="J203" i="8" s="1"/>
  <c r="K203" i="8" s="1"/>
  <c r="L203" i="8" s="1"/>
  <c r="M203" i="8" s="1"/>
  <c r="N203" i="8" s="1"/>
  <c r="O203" i="8" s="1"/>
  <c r="P203" i="8" s="1"/>
  <c r="Q203" i="8" s="1"/>
  <c r="R203" i="8" s="1"/>
  <c r="S203" i="8" s="1"/>
  <c r="T203" i="8" s="1"/>
  <c r="U203" i="8" s="1"/>
  <c r="V203" i="8" s="1"/>
  <c r="W203" i="8" s="1"/>
  <c r="X203" i="8" s="1"/>
  <c r="Y203" i="8" s="1"/>
  <c r="Z203" i="8" s="1"/>
  <c r="AA203" i="8" s="1"/>
  <c r="AB203" i="8" s="1"/>
  <c r="AC203" i="8" s="1"/>
  <c r="AD203" i="8" s="1"/>
  <c r="AE203" i="8" s="1"/>
  <c r="AF203" i="8" s="1"/>
  <c r="AG203" i="8" s="1"/>
  <c r="AH203" i="8" s="1"/>
  <c r="AI203" i="8" s="1"/>
  <c r="B6" i="5"/>
  <c r="B250" i="8"/>
  <c r="C250" i="8" s="1"/>
  <c r="D250" i="8" s="1"/>
  <c r="E250" i="8" s="1"/>
  <c r="F250" i="8" s="1"/>
  <c r="G250" i="8" s="1"/>
  <c r="H250" i="8" s="1"/>
  <c r="I250" i="8" s="1"/>
  <c r="J250" i="8" s="1"/>
  <c r="K250" i="8" s="1"/>
  <c r="L250" i="8" s="1"/>
  <c r="M250" i="8" s="1"/>
  <c r="N250" i="8" s="1"/>
  <c r="O250" i="8" s="1"/>
  <c r="P250" i="8" s="1"/>
  <c r="Q250" i="8" s="1"/>
  <c r="R250" i="8" s="1"/>
  <c r="S250" i="8" s="1"/>
  <c r="T250" i="8" s="1"/>
  <c r="U250" i="8" s="1"/>
  <c r="V250" i="8" s="1"/>
  <c r="W250" i="8" s="1"/>
  <c r="X250" i="8" s="1"/>
  <c r="Y250" i="8" s="1"/>
  <c r="Z250" i="8" s="1"/>
  <c r="AA250" i="8" s="1"/>
  <c r="AB250" i="8" s="1"/>
  <c r="AC250" i="8" s="1"/>
  <c r="AD250" i="8" s="1"/>
  <c r="AE250" i="8" s="1"/>
  <c r="AF250" i="8" s="1"/>
  <c r="AG250" i="8" s="1"/>
  <c r="AH250" i="8" s="1"/>
  <c r="AI250" i="8" s="1"/>
  <c r="B130" i="5"/>
  <c r="B315" i="8"/>
  <c r="C315" i="8" s="1"/>
  <c r="D315" i="8" s="1"/>
  <c r="E315" i="8" s="1"/>
  <c r="F315" i="8" s="1"/>
  <c r="G315" i="8" s="1"/>
  <c r="H315" i="8" s="1"/>
  <c r="I315" i="8" s="1"/>
  <c r="J315" i="8" s="1"/>
  <c r="K315" i="8" s="1"/>
  <c r="L315" i="8" s="1"/>
  <c r="M315" i="8" s="1"/>
  <c r="N315" i="8" s="1"/>
  <c r="O315" i="8" s="1"/>
  <c r="P315" i="8" s="1"/>
  <c r="Q315" i="8" s="1"/>
  <c r="R315" i="8" s="1"/>
  <c r="S315" i="8" s="1"/>
  <c r="T315" i="8" s="1"/>
  <c r="U315" i="8" s="1"/>
  <c r="V315" i="8" s="1"/>
  <c r="W315" i="8" s="1"/>
  <c r="X315" i="8" s="1"/>
  <c r="Y315" i="8" s="1"/>
  <c r="Z315" i="8" s="1"/>
  <c r="AA315" i="8" s="1"/>
  <c r="AB315" i="8" s="1"/>
  <c r="AC315" i="8" s="1"/>
  <c r="AD315" i="8" s="1"/>
  <c r="AE315" i="8" s="1"/>
  <c r="AF315" i="8" s="1"/>
  <c r="AG315" i="8" s="1"/>
  <c r="AH315" i="8" s="1"/>
  <c r="AI315" i="8" s="1"/>
  <c r="C5" i="8"/>
  <c r="C205" i="8"/>
  <c r="C20" i="2" s="1"/>
  <c r="B6" i="7"/>
  <c r="C6" i="7" s="1"/>
  <c r="C7" i="7" s="1"/>
  <c r="B129" i="5"/>
  <c r="B30" i="7"/>
  <c r="C30" i="7" s="1"/>
  <c r="D30" i="7" s="1"/>
  <c r="E30" i="7" s="1"/>
  <c r="F30" i="7" s="1"/>
  <c r="G30" i="7" s="1"/>
  <c r="H30" i="7" s="1"/>
  <c r="I30" i="7" s="1"/>
  <c r="J30" i="7" s="1"/>
  <c r="K30" i="7" s="1"/>
  <c r="L30" i="7" s="1"/>
  <c r="M30" i="7" s="1"/>
  <c r="N30" i="7" s="1"/>
  <c r="O30" i="7" s="1"/>
  <c r="P30" i="7" s="1"/>
  <c r="Q30" i="7" s="1"/>
  <c r="R30" i="7" s="1"/>
  <c r="S30" i="7" s="1"/>
  <c r="T30" i="7" s="1"/>
  <c r="U30" i="7" s="1"/>
  <c r="V30" i="7" s="1"/>
  <c r="W30" i="7" s="1"/>
  <c r="X30" i="7" s="1"/>
  <c r="Y30" i="7" s="1"/>
  <c r="Z30" i="7" s="1"/>
  <c r="AA30" i="7" s="1"/>
  <c r="AB30" i="7" s="1"/>
  <c r="AC30" i="7" s="1"/>
  <c r="AD30" i="7" s="1"/>
  <c r="AE30" i="7" s="1"/>
  <c r="AF30" i="7" s="1"/>
  <c r="AG30" i="7" s="1"/>
  <c r="AH30" i="7" s="1"/>
  <c r="AI30" i="7" s="1"/>
  <c r="B177" i="8"/>
  <c r="C177" i="8" s="1"/>
  <c r="D177" i="8" s="1"/>
  <c r="E177" i="8" s="1"/>
  <c r="F177" i="8" s="1"/>
  <c r="G177" i="8" s="1"/>
  <c r="H177" i="8" s="1"/>
  <c r="I177" i="8" s="1"/>
  <c r="J177" i="8" s="1"/>
  <c r="K177" i="8" s="1"/>
  <c r="L177" i="8" s="1"/>
  <c r="M177" i="8" s="1"/>
  <c r="N177" i="8" s="1"/>
  <c r="O177" i="8" s="1"/>
  <c r="P177" i="8" s="1"/>
  <c r="Q177" i="8" s="1"/>
  <c r="R177" i="8" s="1"/>
  <c r="S177" i="8" s="1"/>
  <c r="T177" i="8" s="1"/>
  <c r="U177" i="8" s="1"/>
  <c r="V177" i="8" s="1"/>
  <c r="W177" i="8" s="1"/>
  <c r="X177" i="8" s="1"/>
  <c r="Y177" i="8" s="1"/>
  <c r="Z177" i="8" s="1"/>
  <c r="AA177" i="8" s="1"/>
  <c r="AB177" i="8" s="1"/>
  <c r="AC177" i="8" s="1"/>
  <c r="AD177" i="8" s="1"/>
  <c r="AE177" i="8" s="1"/>
  <c r="AF177" i="8" s="1"/>
  <c r="AG177" i="8" s="1"/>
  <c r="AH177" i="8" s="1"/>
  <c r="AI177" i="8" s="1"/>
  <c r="F104" i="5"/>
  <c r="U71" i="18"/>
  <c r="S8" i="6" s="1"/>
  <c r="Q171" i="1"/>
  <c r="V171" i="1"/>
  <c r="M71" i="18"/>
  <c r="K8" i="6" s="1"/>
  <c r="Q71" i="18"/>
  <c r="O8" i="6" s="1"/>
  <c r="M171" i="1"/>
  <c r="D205" i="8"/>
  <c r="D20" i="2" s="1"/>
  <c r="H52" i="5"/>
  <c r="C47" i="5"/>
  <c r="B147" i="5"/>
  <c r="H71" i="18"/>
  <c r="F8" i="6" s="1"/>
  <c r="P71" i="18"/>
  <c r="N8" i="6" s="1"/>
  <c r="E171" i="1"/>
  <c r="H171" i="1"/>
  <c r="F71" i="18"/>
  <c r="D8" i="6" s="1"/>
  <c r="R71" i="18"/>
  <c r="P8" i="6" s="1"/>
  <c r="R171" i="1"/>
  <c r="G52" i="5"/>
  <c r="F52" i="5"/>
  <c r="D52" i="5"/>
  <c r="C117" i="5"/>
  <c r="F117" i="5"/>
  <c r="K11" i="7"/>
  <c r="K35" i="7" s="1"/>
  <c r="H117" i="5"/>
  <c r="G117" i="5"/>
  <c r="F47" i="5"/>
  <c r="B52" i="5"/>
  <c r="C26" i="8"/>
  <c r="D26" i="8" s="1"/>
  <c r="C307" i="8"/>
  <c r="C291" i="8" s="1"/>
  <c r="B138" i="5"/>
  <c r="B331" i="8"/>
  <c r="C52" i="5"/>
  <c r="C59" i="5" s="1"/>
  <c r="C122" i="5" s="1"/>
  <c r="E104" i="5"/>
  <c r="CV13" i="19"/>
  <c r="CW10" i="19" s="1"/>
  <c r="CW13" i="19" s="1"/>
  <c r="C8" i="8"/>
  <c r="C10" i="8"/>
  <c r="C13" i="8"/>
  <c r="B340" i="8"/>
  <c r="B10" i="2" s="1"/>
  <c r="CT27" i="19"/>
  <c r="E117" i="5"/>
  <c r="C104" i="5"/>
  <c r="I104" i="5"/>
  <c r="B104" i="5"/>
  <c r="C12" i="5"/>
  <c r="C68" i="5"/>
  <c r="C27" i="5"/>
  <c r="G47" i="5"/>
  <c r="E52" i="5"/>
  <c r="CT19" i="19"/>
  <c r="T13" i="19"/>
  <c r="C8" i="5"/>
  <c r="C17" i="5"/>
  <c r="AL11" i="17"/>
  <c r="AJ78" i="18" s="1"/>
  <c r="D47" i="5"/>
  <c r="AD70" i="18"/>
  <c r="AB16" i="6" s="1"/>
  <c r="J117" i="5"/>
  <c r="K51" i="5"/>
  <c r="L51" i="5" s="1"/>
  <c r="M51" i="5" s="1"/>
  <c r="N51" i="5" s="1"/>
  <c r="O51" i="5" s="1"/>
  <c r="P51" i="5" s="1"/>
  <c r="Q51" i="5" s="1"/>
  <c r="R51" i="5" s="1"/>
  <c r="S51" i="5" s="1"/>
  <c r="T51" i="5" s="1"/>
  <c r="U51" i="5" s="1"/>
  <c r="V51" i="5" s="1"/>
  <c r="W51" i="5" s="1"/>
  <c r="X51" i="5" s="1"/>
  <c r="Y51" i="5" s="1"/>
  <c r="Z51" i="5" s="1"/>
  <c r="AA51" i="5" s="1"/>
  <c r="AB51" i="5" s="1"/>
  <c r="AC51" i="5" s="1"/>
  <c r="AD51" i="5" s="1"/>
  <c r="AE51" i="5" s="1"/>
  <c r="AF51" i="5" s="1"/>
  <c r="AG51" i="5" s="1"/>
  <c r="AH51" i="5" s="1"/>
  <c r="AI51" i="5" s="1"/>
  <c r="J52" i="5"/>
  <c r="J47" i="5"/>
  <c r="I52" i="5"/>
  <c r="B17" i="8"/>
  <c r="D104" i="5"/>
  <c r="E205" i="8"/>
  <c r="E20" i="2" s="1"/>
  <c r="B307" i="8"/>
  <c r="I305" i="8"/>
  <c r="G305" i="8"/>
  <c r="C22" i="8"/>
  <c r="B139" i="5"/>
  <c r="B148" i="5"/>
  <c r="C4" i="18"/>
  <c r="C16" i="8"/>
  <c r="B47" i="5"/>
  <c r="D117" i="5"/>
  <c r="O49" i="5"/>
  <c r="B178" i="8"/>
  <c r="B186" i="8"/>
  <c r="I117" i="5"/>
  <c r="C20" i="8"/>
  <c r="C11" i="8"/>
  <c r="M44" i="5"/>
  <c r="G10" i="17"/>
  <c r="E77" i="18" s="1"/>
  <c r="C66" i="5"/>
  <c r="C65" i="5"/>
  <c r="G8" i="17"/>
  <c r="T27" i="19"/>
  <c r="AG21" i="19"/>
  <c r="CV21" i="19" s="1"/>
  <c r="T19" i="19"/>
  <c r="B286" i="8"/>
  <c r="C286" i="8" s="1"/>
  <c r="D286" i="8" s="1"/>
  <c r="E286" i="8" s="1"/>
  <c r="F286" i="8" s="1"/>
  <c r="G286" i="8" s="1"/>
  <c r="H286" i="8" s="1"/>
  <c r="I286" i="8" s="1"/>
  <c r="J286" i="8" s="1"/>
  <c r="K286" i="8" s="1"/>
  <c r="L286" i="8" s="1"/>
  <c r="M286" i="8" s="1"/>
  <c r="N286" i="8" s="1"/>
  <c r="O286" i="8" s="1"/>
  <c r="P286" i="8" s="1"/>
  <c r="Q286" i="8" s="1"/>
  <c r="R286" i="8" s="1"/>
  <c r="S286" i="8" s="1"/>
  <c r="T286" i="8" s="1"/>
  <c r="U286" i="8" s="1"/>
  <c r="V286" i="8" s="1"/>
  <c r="W286" i="8" s="1"/>
  <c r="X286" i="8" s="1"/>
  <c r="Y286" i="8" s="1"/>
  <c r="Z286" i="8" s="1"/>
  <c r="AA286" i="8" s="1"/>
  <c r="AB286" i="8" s="1"/>
  <c r="AC286" i="8" s="1"/>
  <c r="AD286" i="8" s="1"/>
  <c r="AE286" i="8" s="1"/>
  <c r="AF286" i="8" s="1"/>
  <c r="AG286" i="8" s="1"/>
  <c r="AH286" i="8" s="1"/>
  <c r="AI286" i="8" s="1"/>
  <c r="B6" i="2"/>
  <c r="B235" i="8"/>
  <c r="C235" i="8" s="1"/>
  <c r="D235" i="8" s="1"/>
  <c r="E235" i="8" s="1"/>
  <c r="F235" i="8" s="1"/>
  <c r="G235" i="8" s="1"/>
  <c r="H235" i="8" s="1"/>
  <c r="I235" i="8" s="1"/>
  <c r="J235" i="8" s="1"/>
  <c r="K235" i="8" s="1"/>
  <c r="L235" i="8" s="1"/>
  <c r="M235" i="8" s="1"/>
  <c r="N235" i="8" s="1"/>
  <c r="O235" i="8" s="1"/>
  <c r="P235" i="8" s="1"/>
  <c r="Q235" i="8" s="1"/>
  <c r="R235" i="8" s="1"/>
  <c r="S235" i="8" s="1"/>
  <c r="T235" i="8" s="1"/>
  <c r="U235" i="8" s="1"/>
  <c r="V235" i="8" s="1"/>
  <c r="W235" i="8" s="1"/>
  <c r="X235" i="8" s="1"/>
  <c r="Y235" i="8" s="1"/>
  <c r="Z235" i="8" s="1"/>
  <c r="AA235" i="8" s="1"/>
  <c r="AB235" i="8" s="1"/>
  <c r="AC235" i="8" s="1"/>
  <c r="AD235" i="8" s="1"/>
  <c r="AE235" i="8" s="1"/>
  <c r="AF235" i="8" s="1"/>
  <c r="AG235" i="8" s="1"/>
  <c r="AH235" i="8" s="1"/>
  <c r="AI235" i="8" s="1"/>
  <c r="B18" i="7"/>
  <c r="B31" i="7"/>
  <c r="C25" i="8"/>
  <c r="G171" i="1"/>
  <c r="C77" i="5" l="1"/>
  <c r="D79" i="18"/>
  <c r="D78" i="5"/>
  <c r="D79" i="5" s="1"/>
  <c r="D82" i="5"/>
  <c r="D83" i="5" s="1"/>
  <c r="D80" i="5"/>
  <c r="D84" i="5"/>
  <c r="E75" i="18"/>
  <c r="D41" i="18"/>
  <c r="C42" i="8" s="1"/>
  <c r="D40" i="18"/>
  <c r="C36" i="8" s="1"/>
  <c r="C40" i="8" s="1"/>
  <c r="D38" i="8" s="1"/>
  <c r="D39" i="8" s="1"/>
  <c r="D42" i="18"/>
  <c r="C48" i="8" s="1"/>
  <c r="D57" i="18"/>
  <c r="C68" i="8" s="1"/>
  <c r="D55" i="18"/>
  <c r="C56" i="8" s="1"/>
  <c r="D56" i="18"/>
  <c r="C62" i="8" s="1"/>
  <c r="C64" i="5"/>
  <c r="B183" i="1"/>
  <c r="C166" i="1"/>
  <c r="D166" i="1" s="1"/>
  <c r="E166" i="1" s="1"/>
  <c r="F166" i="1" s="1"/>
  <c r="G166" i="1" s="1"/>
  <c r="H166" i="1" s="1"/>
  <c r="I166" i="1" s="1"/>
  <c r="J166" i="1" s="1"/>
  <c r="K166" i="1" s="1"/>
  <c r="L166" i="1" s="1"/>
  <c r="M166" i="1" s="1"/>
  <c r="N166" i="1" s="1"/>
  <c r="O166" i="1" s="1"/>
  <c r="P166" i="1" s="1"/>
  <c r="Q166" i="1" s="1"/>
  <c r="R166" i="1" s="1"/>
  <c r="S166" i="1" s="1"/>
  <c r="T166" i="1" s="1"/>
  <c r="U166" i="1" s="1"/>
  <c r="V166" i="1" s="1"/>
  <c r="W166" i="1" s="1"/>
  <c r="X166" i="1" s="1"/>
  <c r="Y166" i="1" s="1"/>
  <c r="Z166" i="1" s="1"/>
  <c r="AA166" i="1" s="1"/>
  <c r="AB166" i="1" s="1"/>
  <c r="AC166" i="1" s="1"/>
  <c r="AD166" i="1" s="1"/>
  <c r="AE166" i="1" s="1"/>
  <c r="AF166" i="1" s="1"/>
  <c r="AG166" i="1" s="1"/>
  <c r="AH166" i="1" s="1"/>
  <c r="AI166" i="1" s="1"/>
  <c r="C70" i="5"/>
  <c r="C81" i="5"/>
  <c r="C85" i="5" s="1"/>
  <c r="C7" i="5"/>
  <c r="C22" i="5"/>
  <c r="B7" i="5"/>
  <c r="G17" i="23"/>
  <c r="B63" i="2"/>
  <c r="C100" i="5"/>
  <c r="C43" i="5"/>
  <c r="B59" i="5"/>
  <c r="B122" i="5" s="1"/>
  <c r="B56" i="5"/>
  <c r="B109" i="5" s="1"/>
  <c r="C56" i="5"/>
  <c r="C109" i="5" s="1"/>
  <c r="D16" i="8"/>
  <c r="AG5" i="19"/>
  <c r="C59" i="1"/>
  <c r="C65" i="1" s="1"/>
  <c r="L20" i="19"/>
  <c r="M20" i="19" s="1"/>
  <c r="N20" i="19" s="1"/>
  <c r="O20" i="19" s="1"/>
  <c r="P20" i="19" s="1"/>
  <c r="Q20" i="19" s="1"/>
  <c r="R20" i="19" s="1"/>
  <c r="S20" i="19" s="1"/>
  <c r="E44" i="2"/>
  <c r="C44" i="2"/>
  <c r="D44" i="2"/>
  <c r="H44" i="2"/>
  <c r="C288" i="8"/>
  <c r="B142" i="5"/>
  <c r="D5" i="8"/>
  <c r="C4" i="21"/>
  <c r="U13" i="21"/>
  <c r="B27" i="19"/>
  <c r="T23" i="19"/>
  <c r="C25" i="5"/>
  <c r="C335" i="8"/>
  <c r="C336" i="8"/>
  <c r="C337" i="8"/>
  <c r="AT5" i="19"/>
  <c r="AU5" i="19"/>
  <c r="AL51" i="1"/>
  <c r="AM51" i="1" s="1"/>
  <c r="AL52" i="1"/>
  <c r="AM52" i="1" s="1"/>
  <c r="C23" i="5"/>
  <c r="C144" i="5" s="1"/>
  <c r="CV19" i="19"/>
  <c r="CW17" i="19" s="1"/>
  <c r="D17" i="5"/>
  <c r="D75" i="8"/>
  <c r="E75" i="8" s="1"/>
  <c r="B188" i="8"/>
  <c r="B191" i="8" s="1"/>
  <c r="D4" i="18"/>
  <c r="C331" i="8"/>
  <c r="D21" i="5"/>
  <c r="C131" i="5"/>
  <c r="C135" i="5"/>
  <c r="D24" i="8"/>
  <c r="D8" i="8"/>
  <c r="C68" i="1"/>
  <c r="D28" i="18" s="1"/>
  <c r="C69" i="1"/>
  <c r="D19" i="18" s="1"/>
  <c r="C141" i="8" s="1"/>
  <c r="C91" i="8" s="1"/>
  <c r="C70" i="1"/>
  <c r="D25" i="18" s="1"/>
  <c r="C187" i="8" s="1"/>
  <c r="C71" i="1"/>
  <c r="D18" i="18" s="1"/>
  <c r="C140" i="8" s="1"/>
  <c r="C85" i="8" s="1"/>
  <c r="C72" i="1"/>
  <c r="C61" i="1"/>
  <c r="C62" i="1"/>
  <c r="C58" i="1"/>
  <c r="C67" i="1"/>
  <c r="D17" i="18" s="1"/>
  <c r="G12" i="17"/>
  <c r="E79" i="18" s="1"/>
  <c r="B117" i="8"/>
  <c r="C132" i="5"/>
  <c r="C137" i="5"/>
  <c r="C139" i="5"/>
  <c r="B137" i="5"/>
  <c r="B197" i="8"/>
  <c r="B198" i="8" s="1"/>
  <c r="D3" i="18"/>
  <c r="D68" i="18"/>
  <c r="C308" i="8" s="1"/>
  <c r="D82" i="18"/>
  <c r="E82" i="18" s="1"/>
  <c r="D21" i="8"/>
  <c r="L47" i="5"/>
  <c r="K47" i="5"/>
  <c r="B143" i="5"/>
  <c r="K117" i="5"/>
  <c r="C339" i="8"/>
  <c r="C138" i="5"/>
  <c r="D27" i="8"/>
  <c r="E16" i="8" s="1"/>
  <c r="B336" i="8"/>
  <c r="B131" i="5"/>
  <c r="C237" i="8"/>
  <c r="B330" i="8"/>
  <c r="D6" i="7"/>
  <c r="E6" i="7" s="1"/>
  <c r="B329" i="8"/>
  <c r="B127" i="5"/>
  <c r="C127" i="5" s="1"/>
  <c r="D127" i="5" s="1"/>
  <c r="E127" i="5" s="1"/>
  <c r="F127" i="5" s="1"/>
  <c r="G127" i="5" s="1"/>
  <c r="H127" i="5" s="1"/>
  <c r="I127" i="5" s="1"/>
  <c r="J127" i="5" s="1"/>
  <c r="K127" i="5" s="1"/>
  <c r="L127" i="5" s="1"/>
  <c r="M127" i="5" s="1"/>
  <c r="N127" i="5" s="1"/>
  <c r="O127" i="5" s="1"/>
  <c r="P127" i="5" s="1"/>
  <c r="Q127" i="5" s="1"/>
  <c r="R127" i="5" s="1"/>
  <c r="S127" i="5" s="1"/>
  <c r="T127" i="5" s="1"/>
  <c r="U127" i="5" s="1"/>
  <c r="V127" i="5" s="1"/>
  <c r="W127" i="5" s="1"/>
  <c r="X127" i="5" s="1"/>
  <c r="Y127" i="5" s="1"/>
  <c r="Z127" i="5" s="1"/>
  <c r="AA127" i="5" s="1"/>
  <c r="AB127" i="5" s="1"/>
  <c r="AC127" i="5" s="1"/>
  <c r="AD127" i="5" s="1"/>
  <c r="AE127" i="5" s="1"/>
  <c r="AF127" i="5" s="1"/>
  <c r="AG127" i="5" s="1"/>
  <c r="AH127" i="5" s="1"/>
  <c r="AI127" i="5" s="1"/>
  <c r="C6" i="5"/>
  <c r="B63" i="5"/>
  <c r="D10" i="8"/>
  <c r="D13" i="8"/>
  <c r="D15" i="8"/>
  <c r="E15" i="8" s="1"/>
  <c r="D19" i="8"/>
  <c r="C225" i="8"/>
  <c r="C332" i="8"/>
  <c r="B332" i="8"/>
  <c r="C35" i="5"/>
  <c r="C36" i="5"/>
  <c r="D11" i="8"/>
  <c r="D20" i="8"/>
  <c r="CW15" i="19"/>
  <c r="C30" i="5"/>
  <c r="C32" i="5"/>
  <c r="CW11" i="19"/>
  <c r="CW12" i="19"/>
  <c r="B136" i="5"/>
  <c r="C15" i="5"/>
  <c r="C136" i="5" s="1"/>
  <c r="C34" i="5"/>
  <c r="B194" i="8"/>
  <c r="B196" i="8" s="1"/>
  <c r="B180" i="8"/>
  <c r="B183" i="8" s="1"/>
  <c r="B95" i="8"/>
  <c r="C93" i="8" s="1"/>
  <c r="C94" i="8" s="1"/>
  <c r="AE70" i="18"/>
  <c r="AC16" i="6" s="1"/>
  <c r="B337" i="8"/>
  <c r="D9" i="8"/>
  <c r="B291" i="8"/>
  <c r="B255" i="8"/>
  <c r="B306" i="8"/>
  <c r="B225" i="8"/>
  <c r="B339" i="8"/>
  <c r="C133" i="5"/>
  <c r="C333" i="8"/>
  <c r="B103" i="8"/>
  <c r="B147" i="8"/>
  <c r="B154" i="8"/>
  <c r="B206" i="8" s="1"/>
  <c r="B18" i="2" s="1"/>
  <c r="B42" i="2" s="1"/>
  <c r="B109" i="8"/>
  <c r="C107" i="8" s="1"/>
  <c r="C108" i="8" s="1"/>
  <c r="B115" i="8"/>
  <c r="C113" i="8" s="1"/>
  <c r="C114" i="8" s="1"/>
  <c r="B155" i="8"/>
  <c r="B156" i="8" s="1"/>
  <c r="L52" i="5"/>
  <c r="B112" i="5"/>
  <c r="B133" i="5"/>
  <c r="B333" i="8"/>
  <c r="B99" i="5"/>
  <c r="O52" i="5"/>
  <c r="P49" i="5"/>
  <c r="K52" i="5"/>
  <c r="D22" i="8"/>
  <c r="M52" i="5"/>
  <c r="N52" i="5"/>
  <c r="C17" i="8"/>
  <c r="C130" i="5"/>
  <c r="C330" i="8"/>
  <c r="H10" i="17"/>
  <c r="F77" i="18" s="1"/>
  <c r="C31" i="7"/>
  <c r="C18" i="7"/>
  <c r="AH23" i="19"/>
  <c r="AI23" i="19" s="1"/>
  <c r="AJ23" i="19" s="1"/>
  <c r="AK23" i="19" s="1"/>
  <c r="AL23" i="19" s="1"/>
  <c r="AM23" i="19" s="1"/>
  <c r="AN23" i="19" s="1"/>
  <c r="AO23" i="19" s="1"/>
  <c r="AP23" i="19" s="1"/>
  <c r="AQ23" i="19" s="1"/>
  <c r="AR23" i="19" s="1"/>
  <c r="AS23" i="19" s="1"/>
  <c r="AU23" i="19" s="1"/>
  <c r="AV23" i="19" s="1"/>
  <c r="AW23" i="19" s="1"/>
  <c r="AX23" i="19" s="1"/>
  <c r="AY23" i="19" s="1"/>
  <c r="AZ23" i="19" s="1"/>
  <c r="BA23" i="19" s="1"/>
  <c r="BB23" i="19" s="1"/>
  <c r="BC23" i="19" s="1"/>
  <c r="BD23" i="19" s="1"/>
  <c r="BE23" i="19" s="1"/>
  <c r="BF23" i="19" s="1"/>
  <c r="AG23" i="19"/>
  <c r="B30" i="2"/>
  <c r="C30" i="2" s="1"/>
  <c r="D30" i="2" s="1"/>
  <c r="E30" i="2" s="1"/>
  <c r="F30" i="2" s="1"/>
  <c r="G30" i="2" s="1"/>
  <c r="H30" i="2" s="1"/>
  <c r="I30" i="2" s="1"/>
  <c r="J30" i="2" s="1"/>
  <c r="K30" i="2" s="1"/>
  <c r="L30" i="2" s="1"/>
  <c r="M30" i="2" s="1"/>
  <c r="N30" i="2" s="1"/>
  <c r="O30" i="2" s="1"/>
  <c r="P30" i="2" s="1"/>
  <c r="Q30" i="2" s="1"/>
  <c r="R30" i="2" s="1"/>
  <c r="S30" i="2" s="1"/>
  <c r="T30" i="2" s="1"/>
  <c r="U30" i="2" s="1"/>
  <c r="V30" i="2" s="1"/>
  <c r="W30" i="2" s="1"/>
  <c r="X30" i="2" s="1"/>
  <c r="Y30" i="2" s="1"/>
  <c r="Z30" i="2" s="1"/>
  <c r="AA30" i="2" s="1"/>
  <c r="AB30" i="2" s="1"/>
  <c r="AC30" i="2" s="1"/>
  <c r="AD30" i="2" s="1"/>
  <c r="AE30" i="2" s="1"/>
  <c r="AF30" i="2" s="1"/>
  <c r="AG30" i="2" s="1"/>
  <c r="AH30" i="2" s="1"/>
  <c r="AI30" i="2" s="1"/>
  <c r="C6" i="2"/>
  <c r="D6" i="2" s="1"/>
  <c r="E6" i="2" s="1"/>
  <c r="F6" i="2" s="1"/>
  <c r="G6" i="2" s="1"/>
  <c r="H6" i="2" s="1"/>
  <c r="I6" i="2" s="1"/>
  <c r="J6" i="2" s="1"/>
  <c r="K6" i="2" s="1"/>
  <c r="L6" i="2" s="1"/>
  <c r="M6" i="2" s="1"/>
  <c r="N6" i="2" s="1"/>
  <c r="O6" i="2" s="1"/>
  <c r="P6" i="2" s="1"/>
  <c r="Q6" i="2" s="1"/>
  <c r="R6" i="2" s="1"/>
  <c r="S6" i="2" s="1"/>
  <c r="T6" i="2" s="1"/>
  <c r="U6" i="2" s="1"/>
  <c r="V6" i="2" s="1"/>
  <c r="W6" i="2" s="1"/>
  <c r="X6" i="2" s="1"/>
  <c r="Y6" i="2" s="1"/>
  <c r="Z6" i="2" s="1"/>
  <c r="AA6" i="2" s="1"/>
  <c r="AB6" i="2" s="1"/>
  <c r="AC6" i="2" s="1"/>
  <c r="AD6" i="2" s="1"/>
  <c r="AE6" i="2" s="1"/>
  <c r="AF6" i="2" s="1"/>
  <c r="AG6" i="2" s="1"/>
  <c r="AH6" i="2" s="1"/>
  <c r="AI6" i="2" s="1"/>
  <c r="H8" i="17"/>
  <c r="F75" i="18" s="1"/>
  <c r="C329" i="8"/>
  <c r="C129" i="5"/>
  <c r="D14" i="8"/>
  <c r="E3" i="18"/>
  <c r="F2" i="18"/>
  <c r="E4" i="18"/>
  <c r="D12" i="5"/>
  <c r="D14" i="5"/>
  <c r="D10" i="5"/>
  <c r="D11" i="5"/>
  <c r="D16" i="5"/>
  <c r="D15" i="5"/>
  <c r="D9" i="5"/>
  <c r="D18" i="5"/>
  <c r="N44" i="5"/>
  <c r="M47" i="5"/>
  <c r="D25" i="8"/>
  <c r="D23" i="5"/>
  <c r="D27" i="5"/>
  <c r="D25" i="5"/>
  <c r="C128" i="5" l="1"/>
  <c r="D81" i="5"/>
  <c r="C76" i="5"/>
  <c r="U20" i="19"/>
  <c r="V20" i="19" s="1"/>
  <c r="W20" i="19" s="1"/>
  <c r="X20" i="19" s="1"/>
  <c r="Y20" i="19" s="1"/>
  <c r="Z20" i="19" s="1"/>
  <c r="AA20" i="19" s="1"/>
  <c r="AB20" i="19" s="1"/>
  <c r="AC20" i="19" s="1"/>
  <c r="AD20" i="19" s="1"/>
  <c r="AE20" i="19" s="1"/>
  <c r="AF20" i="19" s="1"/>
  <c r="AG20" i="19" s="1"/>
  <c r="AH20" i="19" s="1"/>
  <c r="AI20" i="19" s="1"/>
  <c r="AJ20" i="19" s="1"/>
  <c r="AK20" i="19" s="1"/>
  <c r="AL20" i="19" s="1"/>
  <c r="AM20" i="19" s="1"/>
  <c r="AN20" i="19" s="1"/>
  <c r="AO20" i="19" s="1"/>
  <c r="AP20" i="19" s="1"/>
  <c r="AQ20" i="19" s="1"/>
  <c r="AR20" i="19" s="1"/>
  <c r="AS20" i="19" s="1"/>
  <c r="T20" i="19"/>
  <c r="C46" i="8"/>
  <c r="D44" i="8" s="1"/>
  <c r="D45" i="8" s="1"/>
  <c r="E78" i="5"/>
  <c r="E79" i="5" s="1"/>
  <c r="E82" i="5"/>
  <c r="E83" i="5" s="1"/>
  <c r="E81" i="5" s="1"/>
  <c r="E84" i="5"/>
  <c r="E80" i="5"/>
  <c r="C20" i="5"/>
  <c r="C141" i="5" s="1"/>
  <c r="D69" i="5"/>
  <c r="D71" i="5"/>
  <c r="D135" i="5" s="1"/>
  <c r="D74" i="5"/>
  <c r="D138" i="5" s="1"/>
  <c r="D72" i="5"/>
  <c r="D75" i="5"/>
  <c r="D73" i="5"/>
  <c r="D137" i="5" s="1"/>
  <c r="D68" i="5"/>
  <c r="D132" i="5" s="1"/>
  <c r="D67" i="5"/>
  <c r="D66" i="5"/>
  <c r="D65" i="5"/>
  <c r="BG23" i="19"/>
  <c r="BH23" i="19"/>
  <c r="BI23" i="19" s="1"/>
  <c r="BJ23" i="19" s="1"/>
  <c r="BK23" i="19" s="1"/>
  <c r="BL23" i="19" s="1"/>
  <c r="BM23" i="19" s="1"/>
  <c r="BN23" i="19" s="1"/>
  <c r="BO23" i="19" s="1"/>
  <c r="BP23" i="19" s="1"/>
  <c r="BQ23" i="19" s="1"/>
  <c r="BR23" i="19" s="1"/>
  <c r="BS23" i="19" s="1"/>
  <c r="B32" i="5"/>
  <c r="E55" i="18"/>
  <c r="D56" i="8" s="1"/>
  <c r="E56" i="18"/>
  <c r="D62" i="8" s="1"/>
  <c r="E57" i="18"/>
  <c r="D68" i="8" s="1"/>
  <c r="E41" i="18"/>
  <c r="D42" i="8" s="1"/>
  <c r="E40" i="18"/>
  <c r="D36" i="8" s="1"/>
  <c r="E42" i="18"/>
  <c r="D48" i="8" s="1"/>
  <c r="C52" i="8"/>
  <c r="D50" i="8" s="1"/>
  <c r="D51" i="8" s="1"/>
  <c r="D8" i="5"/>
  <c r="D7" i="5" s="1"/>
  <c r="D77" i="5"/>
  <c r="D85" i="5" s="1"/>
  <c r="E69" i="5"/>
  <c r="E73" i="5"/>
  <c r="E74" i="5"/>
  <c r="E75" i="5"/>
  <c r="E71" i="5"/>
  <c r="E72" i="5"/>
  <c r="E65" i="5"/>
  <c r="E68" i="5"/>
  <c r="E66" i="5"/>
  <c r="E67" i="5"/>
  <c r="B30" i="5"/>
  <c r="B6" i="6"/>
  <c r="C6" i="6" s="1"/>
  <c r="D6" i="6" s="1"/>
  <c r="E6" i="6" s="1"/>
  <c r="F6" i="6" s="1"/>
  <c r="G6" i="6" s="1"/>
  <c r="H6" i="6" s="1"/>
  <c r="I6" i="6" s="1"/>
  <c r="J6" i="6" s="1"/>
  <c r="K6" i="6" s="1"/>
  <c r="L6" i="6" s="1"/>
  <c r="M6" i="6" s="1"/>
  <c r="N6" i="6" s="1"/>
  <c r="O6" i="6" s="1"/>
  <c r="P6" i="6" s="1"/>
  <c r="Q6" i="6" s="1"/>
  <c r="R6" i="6" s="1"/>
  <c r="S6" i="6" s="1"/>
  <c r="T6" i="6" s="1"/>
  <c r="U6" i="6" s="1"/>
  <c r="V6" i="6" s="1"/>
  <c r="W6" i="6" s="1"/>
  <c r="X6" i="6" s="1"/>
  <c r="Y6" i="6" s="1"/>
  <c r="Z6" i="6" s="1"/>
  <c r="AA6" i="6" s="1"/>
  <c r="AB6" i="6" s="1"/>
  <c r="AC6" i="6" s="1"/>
  <c r="AD6" i="6" s="1"/>
  <c r="AE6" i="6" s="1"/>
  <c r="AF6" i="6" s="1"/>
  <c r="AG6" i="6" s="1"/>
  <c r="AH6" i="6" s="1"/>
  <c r="AI6" i="6" s="1"/>
  <c r="C183" i="1"/>
  <c r="D183" i="1" s="1"/>
  <c r="E183" i="1" s="1"/>
  <c r="F183" i="1" s="1"/>
  <c r="G183" i="1" s="1"/>
  <c r="H183" i="1" s="1"/>
  <c r="I183" i="1" s="1"/>
  <c r="J183" i="1" s="1"/>
  <c r="K183" i="1" s="1"/>
  <c r="L183" i="1" s="1"/>
  <c r="M183" i="1" s="1"/>
  <c r="N183" i="1" s="1"/>
  <c r="O183" i="1" s="1"/>
  <c r="P183" i="1" s="1"/>
  <c r="Q183" i="1" s="1"/>
  <c r="R183" i="1" s="1"/>
  <c r="S183" i="1" s="1"/>
  <c r="T183" i="1" s="1"/>
  <c r="U183" i="1" s="1"/>
  <c r="V183" i="1" s="1"/>
  <c r="W183" i="1" s="1"/>
  <c r="X183" i="1" s="1"/>
  <c r="Y183" i="1" s="1"/>
  <c r="Z183" i="1" s="1"/>
  <c r="AA183" i="1" s="1"/>
  <c r="AB183" i="1" s="1"/>
  <c r="AC183" i="1" s="1"/>
  <c r="AD183" i="1" s="1"/>
  <c r="AE183" i="1" s="1"/>
  <c r="AF183" i="1" s="1"/>
  <c r="AG183" i="1" s="1"/>
  <c r="AH183" i="1" s="1"/>
  <c r="AI183" i="1" s="1"/>
  <c r="D26" i="5"/>
  <c r="D147" i="5" s="1"/>
  <c r="C146" i="5"/>
  <c r="C26" i="5"/>
  <c r="C24" i="5" s="1"/>
  <c r="C13" i="5"/>
  <c r="C134" i="5" s="1"/>
  <c r="D13" i="5"/>
  <c r="B35" i="5"/>
  <c r="B34" i="5"/>
  <c r="C21" i="2"/>
  <c r="C45" i="2" s="1"/>
  <c r="D22" i="5"/>
  <c r="D20" i="5" s="1"/>
  <c r="B19" i="5"/>
  <c r="B140" i="5" s="1"/>
  <c r="B128" i="5"/>
  <c r="B57" i="2"/>
  <c r="G11" i="23"/>
  <c r="B31" i="5"/>
  <c r="B33" i="5" s="1"/>
  <c r="D100" i="5"/>
  <c r="D43" i="5"/>
  <c r="B36" i="5"/>
  <c r="C31" i="5"/>
  <c r="C33" i="5" s="1"/>
  <c r="C101" i="8"/>
  <c r="B72" i="8"/>
  <c r="D59" i="1"/>
  <c r="D27" i="18"/>
  <c r="C145" i="8"/>
  <c r="C105" i="8" s="1"/>
  <c r="C181" i="8"/>
  <c r="C182" i="8" s="1"/>
  <c r="C179" i="8"/>
  <c r="C147" i="5"/>
  <c r="B199" i="8"/>
  <c r="B240" i="8" s="1"/>
  <c r="B168" i="8"/>
  <c r="B237" i="8" s="1"/>
  <c r="C148" i="5"/>
  <c r="AU20" i="19"/>
  <c r="AV20" i="19" s="1"/>
  <c r="AW20" i="19" s="1"/>
  <c r="AX20" i="19" s="1"/>
  <c r="AY20" i="19" s="1"/>
  <c r="AZ20" i="19" s="1"/>
  <c r="BA20" i="19" s="1"/>
  <c r="BB20" i="19" s="1"/>
  <c r="BC20" i="19" s="1"/>
  <c r="BD20" i="19" s="1"/>
  <c r="BE20" i="19" s="1"/>
  <c r="BF20" i="19" s="1"/>
  <c r="C142" i="5"/>
  <c r="C143" i="5"/>
  <c r="E5" i="8"/>
  <c r="D4" i="21"/>
  <c r="V13" i="21"/>
  <c r="F82" i="18"/>
  <c r="AT20" i="19"/>
  <c r="C112" i="5"/>
  <c r="C86" i="5"/>
  <c r="C99" i="5"/>
  <c r="BG5" i="19"/>
  <c r="BH5" i="19"/>
  <c r="CW16" i="19"/>
  <c r="CW19" i="19" s="1"/>
  <c r="C60" i="1"/>
  <c r="D60" i="1"/>
  <c r="CW18" i="19"/>
  <c r="D117" i="8"/>
  <c r="D168" i="8" s="1"/>
  <c r="E19" i="8"/>
  <c r="C195" i="8"/>
  <c r="B29" i="5"/>
  <c r="C139" i="8"/>
  <c r="C79" i="8" s="1"/>
  <c r="C178" i="8"/>
  <c r="B148" i="8"/>
  <c r="E24" i="8"/>
  <c r="C334" i="8"/>
  <c r="H12" i="17"/>
  <c r="D58" i="1"/>
  <c r="D67" i="1"/>
  <c r="E17" i="18" s="1"/>
  <c r="D178" i="8" s="1"/>
  <c r="D68" i="1"/>
  <c r="E28" i="18" s="1"/>
  <c r="D69" i="1"/>
  <c r="E19" i="18" s="1"/>
  <c r="D181" i="8" s="1"/>
  <c r="D182" i="8" s="1"/>
  <c r="D70" i="1"/>
  <c r="E25" i="18" s="1"/>
  <c r="D187" i="8" s="1"/>
  <c r="D71" i="1"/>
  <c r="E18" i="18" s="1"/>
  <c r="D179" i="8" s="1"/>
  <c r="D72" i="1"/>
  <c r="D61" i="1"/>
  <c r="D62" i="1"/>
  <c r="D83" i="18"/>
  <c r="E21" i="8"/>
  <c r="C306" i="8"/>
  <c r="C14" i="6" s="1"/>
  <c r="C255" i="8"/>
  <c r="C226" i="8"/>
  <c r="C309" i="8"/>
  <c r="C292" i="8"/>
  <c r="E10" i="8"/>
  <c r="D7" i="7"/>
  <c r="D18" i="7" s="1"/>
  <c r="B334" i="8"/>
  <c r="D65" i="1"/>
  <c r="D24" i="18"/>
  <c r="E27" i="8"/>
  <c r="F27" i="8" s="1"/>
  <c r="B328" i="8"/>
  <c r="E26" i="8"/>
  <c r="E13" i="8"/>
  <c r="B86" i="5"/>
  <c r="C63" i="5"/>
  <c r="D6" i="5"/>
  <c r="E8" i="8"/>
  <c r="C328" i="8"/>
  <c r="C37" i="5"/>
  <c r="E20" i="8"/>
  <c r="E9" i="8"/>
  <c r="B14" i="6"/>
  <c r="E22" i="8"/>
  <c r="D148" i="5"/>
  <c r="D139" i="5"/>
  <c r="C95" i="8"/>
  <c r="AF70" i="18"/>
  <c r="AD16" i="6" s="1"/>
  <c r="E11" i="8"/>
  <c r="P52" i="5"/>
  <c r="Q49" i="5"/>
  <c r="B83" i="8"/>
  <c r="C81" i="8" s="1"/>
  <c r="B123" i="8"/>
  <c r="E117" i="8"/>
  <c r="E168" i="8" s="1"/>
  <c r="F75" i="8"/>
  <c r="B125" i="8"/>
  <c r="B129" i="8" s="1"/>
  <c r="B89" i="8"/>
  <c r="C87" i="8" s="1"/>
  <c r="C88" i="8" s="1"/>
  <c r="C89" i="8" s="1"/>
  <c r="D136" i="5"/>
  <c r="E14" i="8"/>
  <c r="B131" i="8"/>
  <c r="B135" i="8" s="1"/>
  <c r="B351" i="8" s="1"/>
  <c r="E25" i="8"/>
  <c r="F3" i="18"/>
  <c r="F4" i="18"/>
  <c r="G2" i="18"/>
  <c r="G75" i="18"/>
  <c r="I10" i="17"/>
  <c r="G77" i="18" s="1"/>
  <c r="D146" i="5"/>
  <c r="D131" i="5"/>
  <c r="D335" i="8"/>
  <c r="D142" i="5"/>
  <c r="D144" i="5"/>
  <c r="D337" i="8"/>
  <c r="F6" i="7"/>
  <c r="E7" i="7"/>
  <c r="D133" i="5"/>
  <c r="D333" i="8"/>
  <c r="D330" i="8"/>
  <c r="D130" i="5"/>
  <c r="D17" i="8"/>
  <c r="N47" i="5"/>
  <c r="O44" i="5"/>
  <c r="E12" i="5"/>
  <c r="E14" i="5"/>
  <c r="E10" i="5"/>
  <c r="E17" i="5"/>
  <c r="E9" i="5"/>
  <c r="E16" i="5"/>
  <c r="E18" i="5"/>
  <c r="E11" i="5"/>
  <c r="E15" i="5"/>
  <c r="E8" i="5"/>
  <c r="AT23" i="19"/>
  <c r="E25" i="5"/>
  <c r="E23" i="5"/>
  <c r="E27" i="5"/>
  <c r="E21" i="5"/>
  <c r="D336" i="8"/>
  <c r="D143" i="5"/>
  <c r="B150" i="8" l="1"/>
  <c r="B23" i="21"/>
  <c r="E77" i="5"/>
  <c r="E85" i="5" s="1"/>
  <c r="D56" i="5"/>
  <c r="D24" i="5"/>
  <c r="D145" i="5" s="1"/>
  <c r="D329" i="8"/>
  <c r="D331" i="8"/>
  <c r="E64" i="5"/>
  <c r="D19" i="5"/>
  <c r="D129" i="5"/>
  <c r="D52" i="8"/>
  <c r="E50" i="8" s="1"/>
  <c r="E51" i="8" s="1"/>
  <c r="D332" i="8"/>
  <c r="D40" i="8"/>
  <c r="E38" i="8" s="1"/>
  <c r="E39" i="8" s="1"/>
  <c r="D64" i="5"/>
  <c r="D128" i="5" s="1"/>
  <c r="C57" i="2" s="1"/>
  <c r="D70" i="5"/>
  <c r="F69" i="5"/>
  <c r="F72" i="5"/>
  <c r="F75" i="5"/>
  <c r="F73" i="5"/>
  <c r="F71" i="5"/>
  <c r="F74" i="5"/>
  <c r="F65" i="5"/>
  <c r="F67" i="5"/>
  <c r="F68" i="5"/>
  <c r="F66" i="5"/>
  <c r="D112" i="5"/>
  <c r="D99" i="5"/>
  <c r="F10" i="8"/>
  <c r="B37" i="5"/>
  <c r="E70" i="5"/>
  <c r="E76" i="5" s="1"/>
  <c r="BT23" i="19"/>
  <c r="BU23" i="19"/>
  <c r="BV23" i="19" s="1"/>
  <c r="BW23" i="19" s="1"/>
  <c r="BX23" i="19" s="1"/>
  <c r="BY23" i="19" s="1"/>
  <c r="BZ23" i="19" s="1"/>
  <c r="CA23" i="19" s="1"/>
  <c r="CB23" i="19" s="1"/>
  <c r="CC23" i="19" s="1"/>
  <c r="CD23" i="19" s="1"/>
  <c r="CE23" i="19" s="1"/>
  <c r="CF23" i="19" s="1"/>
  <c r="F78" i="5"/>
  <c r="F79" i="5" s="1"/>
  <c r="F80" i="5"/>
  <c r="F84" i="5"/>
  <c r="F82" i="5"/>
  <c r="F83" i="5" s="1"/>
  <c r="D46" i="8"/>
  <c r="E44" i="8" s="1"/>
  <c r="E45" i="8" s="1"/>
  <c r="E7" i="5"/>
  <c r="E128" i="5" s="1"/>
  <c r="D134" i="5"/>
  <c r="C59" i="2" s="1"/>
  <c r="C145" i="5"/>
  <c r="C28" i="5"/>
  <c r="C149" i="5" s="1"/>
  <c r="E22" i="5"/>
  <c r="E20" i="5" s="1"/>
  <c r="E13" i="5"/>
  <c r="D28" i="5"/>
  <c r="D149" i="5" s="1"/>
  <c r="D141" i="5"/>
  <c r="G13" i="23"/>
  <c r="B59" i="2"/>
  <c r="H12" i="23"/>
  <c r="C58" i="2"/>
  <c r="E26" i="5"/>
  <c r="E24" i="5" s="1"/>
  <c r="E145" i="5" s="1"/>
  <c r="B223" i="8"/>
  <c r="B150" i="5"/>
  <c r="B290" i="8" s="1"/>
  <c r="C223" i="8"/>
  <c r="H13" i="23"/>
  <c r="C19" i="5"/>
  <c r="C140" i="5" s="1"/>
  <c r="G10" i="23"/>
  <c r="B56" i="2"/>
  <c r="D63" i="2"/>
  <c r="I17" i="23"/>
  <c r="C63" i="2"/>
  <c r="H17" i="23"/>
  <c r="C101" i="5"/>
  <c r="E100" i="5"/>
  <c r="C102" i="8"/>
  <c r="C64" i="8"/>
  <c r="C58" i="8"/>
  <c r="C109" i="8"/>
  <c r="F79" i="18"/>
  <c r="E59" i="1"/>
  <c r="C180" i="8"/>
  <c r="C183" i="8" s="1"/>
  <c r="C142" i="8"/>
  <c r="D141" i="8"/>
  <c r="D91" i="8" s="1"/>
  <c r="D140" i="8"/>
  <c r="D85" i="8" s="1"/>
  <c r="D145" i="8"/>
  <c r="D105" i="8" s="1"/>
  <c r="E27" i="18"/>
  <c r="D139" i="8"/>
  <c r="D79" i="8" s="1"/>
  <c r="E24" i="18"/>
  <c r="D186" i="8" s="1"/>
  <c r="D66" i="1"/>
  <c r="E26" i="18" s="1"/>
  <c r="C66" i="1"/>
  <c r="D26" i="18" s="1"/>
  <c r="B224" i="8"/>
  <c r="B14" i="2"/>
  <c r="B15" i="2" s="1"/>
  <c r="B288" i="8"/>
  <c r="BH20" i="19"/>
  <c r="BI20" i="19" s="1"/>
  <c r="BJ20" i="19" s="1"/>
  <c r="BK20" i="19" s="1"/>
  <c r="BL20" i="19" s="1"/>
  <c r="BM20" i="19" s="1"/>
  <c r="BN20" i="19" s="1"/>
  <c r="BO20" i="19" s="1"/>
  <c r="BP20" i="19" s="1"/>
  <c r="BQ20" i="19" s="1"/>
  <c r="BR20" i="19" s="1"/>
  <c r="BS20" i="19" s="1"/>
  <c r="BG20" i="19"/>
  <c r="G82" i="18"/>
  <c r="D288" i="8"/>
  <c r="F5" i="8"/>
  <c r="E4" i="21"/>
  <c r="W13" i="21"/>
  <c r="BT5" i="19"/>
  <c r="BU5" i="19"/>
  <c r="C63" i="1"/>
  <c r="C154" i="8" s="1"/>
  <c r="G15" i="23" s="1"/>
  <c r="D237" i="8"/>
  <c r="F8" i="8"/>
  <c r="D307" i="8"/>
  <c r="D225" i="8" s="1"/>
  <c r="D63" i="1"/>
  <c r="B38" i="5"/>
  <c r="B39" i="5" s="1"/>
  <c r="D195" i="8"/>
  <c r="C186" i="8"/>
  <c r="C194" i="8" s="1"/>
  <c r="C196" i="8" s="1"/>
  <c r="C144" i="8"/>
  <c r="C99" i="8" s="1"/>
  <c r="F13" i="8"/>
  <c r="F21" i="8"/>
  <c r="G21" i="8" s="1"/>
  <c r="C327" i="8"/>
  <c r="I12" i="17"/>
  <c r="G79" i="18" s="1"/>
  <c r="E67" i="1"/>
  <c r="F17" i="18" s="1"/>
  <c r="E68" i="1"/>
  <c r="F28" i="18" s="1"/>
  <c r="E69" i="1"/>
  <c r="F19" i="18" s="1"/>
  <c r="E141" i="8" s="1"/>
  <c r="E70" i="1"/>
  <c r="F25" i="18" s="1"/>
  <c r="E187" i="8" s="1"/>
  <c r="E71" i="1"/>
  <c r="F18" i="18" s="1"/>
  <c r="E179" i="8" s="1"/>
  <c r="E72" i="1"/>
  <c r="E61" i="1"/>
  <c r="E62" i="1"/>
  <c r="E58" i="1"/>
  <c r="E60" i="1"/>
  <c r="D180" i="8"/>
  <c r="D183" i="8" s="1"/>
  <c r="E83" i="18"/>
  <c r="E84" i="18"/>
  <c r="F24" i="8"/>
  <c r="D31" i="7"/>
  <c r="F19" i="8"/>
  <c r="F14" i="8"/>
  <c r="B327" i="8"/>
  <c r="F16" i="8"/>
  <c r="G16" i="8" s="1"/>
  <c r="C38" i="5"/>
  <c r="F26" i="8"/>
  <c r="F15" i="8"/>
  <c r="E146" i="5"/>
  <c r="D63" i="5"/>
  <c r="E6" i="5"/>
  <c r="F22" i="8"/>
  <c r="F9" i="8"/>
  <c r="F20" i="8"/>
  <c r="F11" i="8"/>
  <c r="E17" i="8"/>
  <c r="F25" i="8"/>
  <c r="E139" i="5"/>
  <c r="D31" i="5"/>
  <c r="D30" i="5"/>
  <c r="D32" i="5"/>
  <c r="G75" i="8"/>
  <c r="F117" i="8"/>
  <c r="F168" i="8" s="1"/>
  <c r="AG70" i="18"/>
  <c r="AE16" i="6" s="1"/>
  <c r="B350" i="8"/>
  <c r="C127" i="8"/>
  <c r="C128" i="8" s="1"/>
  <c r="E237" i="8"/>
  <c r="E288" i="8"/>
  <c r="B349" i="8"/>
  <c r="C121" i="8"/>
  <c r="C133" i="8"/>
  <c r="C134" i="8" s="1"/>
  <c r="C82" i="8"/>
  <c r="Q52" i="5"/>
  <c r="R49" i="5"/>
  <c r="E132" i="5"/>
  <c r="E135" i="5"/>
  <c r="E112" i="5"/>
  <c r="E337" i="8"/>
  <c r="E144" i="5"/>
  <c r="E133" i="5"/>
  <c r="E333" i="8"/>
  <c r="E137" i="5"/>
  <c r="E331" i="8"/>
  <c r="E18" i="7"/>
  <c r="E31" i="7"/>
  <c r="J10" i="17"/>
  <c r="H77" i="18" s="1"/>
  <c r="E136" i="5"/>
  <c r="E131" i="5"/>
  <c r="E130" i="5"/>
  <c r="E330" i="8"/>
  <c r="E138" i="5"/>
  <c r="E332" i="8"/>
  <c r="E329" i="8"/>
  <c r="E99" i="5"/>
  <c r="E129" i="5"/>
  <c r="O47" i="5"/>
  <c r="P44" i="5"/>
  <c r="F17" i="5"/>
  <c r="F16" i="5"/>
  <c r="F14" i="5"/>
  <c r="F9" i="5"/>
  <c r="F11" i="5"/>
  <c r="F12" i="5"/>
  <c r="F18" i="5"/>
  <c r="F15" i="5"/>
  <c r="F8" i="5"/>
  <c r="F10" i="5"/>
  <c r="E148" i="5"/>
  <c r="D334" i="8"/>
  <c r="E143" i="5"/>
  <c r="E336" i="8"/>
  <c r="G3" i="18"/>
  <c r="G4" i="18"/>
  <c r="H2" i="18"/>
  <c r="E335" i="8"/>
  <c r="E142" i="5"/>
  <c r="G6" i="7"/>
  <c r="F7" i="7"/>
  <c r="F27" i="5"/>
  <c r="F25" i="5"/>
  <c r="F23" i="5"/>
  <c r="F21" i="5"/>
  <c r="J8" i="17"/>
  <c r="H75" i="18" s="1"/>
  <c r="D328" i="8"/>
  <c r="E43" i="5" l="1"/>
  <c r="E56" i="5" s="1"/>
  <c r="D29" i="5"/>
  <c r="H11" i="23"/>
  <c r="E134" i="5"/>
  <c r="F70" i="5"/>
  <c r="D76" i="5"/>
  <c r="G80" i="5"/>
  <c r="G84" i="5"/>
  <c r="G78" i="5"/>
  <c r="G79" i="5" s="1"/>
  <c r="G77" i="5" s="1"/>
  <c r="G82" i="5"/>
  <c r="G83" i="5" s="1"/>
  <c r="C29" i="5"/>
  <c r="C150" i="5" s="1"/>
  <c r="F42" i="18"/>
  <c r="E48" i="8" s="1"/>
  <c r="F40" i="18"/>
  <c r="E36" i="8" s="1"/>
  <c r="F55" i="18"/>
  <c r="E56" i="8" s="1"/>
  <c r="F56" i="18"/>
  <c r="E62" i="8" s="1"/>
  <c r="F57" i="18"/>
  <c r="E68" i="8" s="1"/>
  <c r="F41" i="18"/>
  <c r="E42" i="8" s="1"/>
  <c r="B227" i="8"/>
  <c r="F77" i="5"/>
  <c r="F64" i="5"/>
  <c r="F76" i="5" s="1"/>
  <c r="G42" i="18"/>
  <c r="G40" i="18"/>
  <c r="G55" i="18"/>
  <c r="G56" i="18"/>
  <c r="G57" i="18"/>
  <c r="G41" i="18"/>
  <c r="F7" i="5"/>
  <c r="G69" i="5"/>
  <c r="G74" i="5"/>
  <c r="G73" i="5"/>
  <c r="G71" i="5"/>
  <c r="G75" i="5"/>
  <c r="G72" i="5"/>
  <c r="G68" i="5"/>
  <c r="G66" i="5"/>
  <c r="G67" i="5"/>
  <c r="G65" i="5"/>
  <c r="F81" i="5"/>
  <c r="F85" i="5" s="1"/>
  <c r="CG23" i="19"/>
  <c r="CH23" i="19"/>
  <c r="CI23" i="19" s="1"/>
  <c r="CJ23" i="19" s="1"/>
  <c r="CK23" i="19" s="1"/>
  <c r="CL23" i="19" s="1"/>
  <c r="CM23" i="19" s="1"/>
  <c r="CN23" i="19" s="1"/>
  <c r="CO23" i="19" s="1"/>
  <c r="CP23" i="19" s="1"/>
  <c r="CQ23" i="19" s="1"/>
  <c r="CR23" i="19" s="1"/>
  <c r="CS23" i="19" s="1"/>
  <c r="CT23" i="19" s="1"/>
  <c r="CV23" i="19" s="1"/>
  <c r="I12" i="23"/>
  <c r="D58" i="2"/>
  <c r="F13" i="5"/>
  <c r="F134" i="5" s="1"/>
  <c r="C56" i="2"/>
  <c r="C55" i="2" s="1"/>
  <c r="H10" i="23"/>
  <c r="H9" i="23" s="1"/>
  <c r="I13" i="23"/>
  <c r="D59" i="2"/>
  <c r="E19" i="5"/>
  <c r="E28" i="5"/>
  <c r="E149" i="5" s="1"/>
  <c r="E141" i="5"/>
  <c r="B58" i="2"/>
  <c r="B55" i="2" s="1"/>
  <c r="G12" i="23"/>
  <c r="F22" i="5"/>
  <c r="F143" i="5" s="1"/>
  <c r="F26" i="5"/>
  <c r="F24" i="5" s="1"/>
  <c r="F145" i="5" s="1"/>
  <c r="E147" i="5"/>
  <c r="I11" i="23"/>
  <c r="D57" i="2"/>
  <c r="E63" i="2"/>
  <c r="J17" i="23"/>
  <c r="C206" i="8"/>
  <c r="C18" i="2" s="1"/>
  <c r="B61" i="2"/>
  <c r="B10" i="6"/>
  <c r="B11" i="6" s="1"/>
  <c r="B15" i="6" s="1"/>
  <c r="B17" i="6" s="1"/>
  <c r="E91" i="8"/>
  <c r="C59" i="8"/>
  <c r="C60" i="8" s="1"/>
  <c r="C65" i="8"/>
  <c r="C66" i="8" s="1"/>
  <c r="D93" i="8"/>
  <c r="D94" i="8" s="1"/>
  <c r="D95" i="8" s="1"/>
  <c r="C125" i="8"/>
  <c r="C129" i="8" s="1"/>
  <c r="B38" i="2"/>
  <c r="B39" i="2" s="1"/>
  <c r="D142" i="8"/>
  <c r="D146" i="8"/>
  <c r="D107" i="8"/>
  <c r="D108" i="8" s="1"/>
  <c r="D109" i="8" s="1"/>
  <c r="F27" i="18"/>
  <c r="E145" i="8"/>
  <c r="E105" i="8" s="1"/>
  <c r="E65" i="1"/>
  <c r="F24" i="18" s="1"/>
  <c r="E140" i="8"/>
  <c r="E85" i="8" s="1"/>
  <c r="E181" i="8"/>
  <c r="E182" i="8" s="1"/>
  <c r="D87" i="8"/>
  <c r="D88" i="8" s="1"/>
  <c r="D89" i="8" s="1"/>
  <c r="D144" i="8"/>
  <c r="D99" i="8" s="1"/>
  <c r="C73" i="1"/>
  <c r="D29" i="18" s="1"/>
  <c r="C149" i="8" s="1"/>
  <c r="D154" i="8"/>
  <c r="H15" i="23" s="1"/>
  <c r="D73" i="1"/>
  <c r="D74" i="1" s="1"/>
  <c r="D156" i="8" s="1"/>
  <c r="D155" i="8" s="1"/>
  <c r="H16" i="23" s="1"/>
  <c r="B22" i="21"/>
  <c r="B24" i="21" s="1"/>
  <c r="BU20" i="19"/>
  <c r="BV20" i="19" s="1"/>
  <c r="BW20" i="19" s="1"/>
  <c r="BX20" i="19" s="1"/>
  <c r="BY20" i="19" s="1"/>
  <c r="BZ20" i="19" s="1"/>
  <c r="CA20" i="19" s="1"/>
  <c r="CB20" i="19" s="1"/>
  <c r="CC20" i="19" s="1"/>
  <c r="CD20" i="19" s="1"/>
  <c r="CE20" i="19" s="1"/>
  <c r="CF20" i="19" s="1"/>
  <c r="BT20" i="19"/>
  <c r="H82" i="18"/>
  <c r="B239" i="8"/>
  <c r="B241" i="8" s="1"/>
  <c r="C239" i="8"/>
  <c r="C22" i="21"/>
  <c r="G5" i="8"/>
  <c r="F4" i="21"/>
  <c r="X13" i="21"/>
  <c r="CG5" i="19"/>
  <c r="CH5" i="19"/>
  <c r="CT5" i="19" s="1"/>
  <c r="D189" i="8"/>
  <c r="D197" i="8" s="1"/>
  <c r="D198" i="8" s="1"/>
  <c r="D339" i="8"/>
  <c r="G8" i="8"/>
  <c r="G13" i="8"/>
  <c r="D291" i="8"/>
  <c r="C83" i="8"/>
  <c r="D81" i="8" s="1"/>
  <c r="E63" i="1"/>
  <c r="E154" i="8" s="1"/>
  <c r="I15" i="23" s="1"/>
  <c r="G24" i="8"/>
  <c r="E195" i="8"/>
  <c r="C189" i="8"/>
  <c r="C146" i="8"/>
  <c r="C111" i="8" s="1"/>
  <c r="E178" i="8"/>
  <c r="E180" i="8" s="1"/>
  <c r="E139" i="8"/>
  <c r="E79" i="8" s="1"/>
  <c r="G19" i="8"/>
  <c r="C119" i="8"/>
  <c r="C39" i="5"/>
  <c r="G10" i="8"/>
  <c r="H10" i="8" s="1"/>
  <c r="E66" i="1"/>
  <c r="F58" i="1"/>
  <c r="F67" i="1"/>
  <c r="G17" i="18" s="1"/>
  <c r="F68" i="1"/>
  <c r="G28" i="18" s="1"/>
  <c r="F69" i="1"/>
  <c r="G19" i="18" s="1"/>
  <c r="F141" i="8" s="1"/>
  <c r="F70" i="1"/>
  <c r="G25" i="18" s="1"/>
  <c r="F187" i="8" s="1"/>
  <c r="F71" i="1"/>
  <c r="G18" i="18" s="1"/>
  <c r="F179" i="8" s="1"/>
  <c r="F72" i="1"/>
  <c r="F61" i="1"/>
  <c r="F62" i="1"/>
  <c r="J12" i="17"/>
  <c r="H79" i="18" s="1"/>
  <c r="F60" i="1"/>
  <c r="F59" i="1"/>
  <c r="F83" i="18"/>
  <c r="F84" i="18"/>
  <c r="C290" i="8"/>
  <c r="G26" i="8"/>
  <c r="G27" i="8"/>
  <c r="H16" i="8" s="1"/>
  <c r="C188" i="8"/>
  <c r="D188" i="8"/>
  <c r="D194" i="8"/>
  <c r="D196" i="8" s="1"/>
  <c r="G15" i="8"/>
  <c r="F148" i="5"/>
  <c r="F6" i="5"/>
  <c r="E63" i="5"/>
  <c r="G25" i="8"/>
  <c r="G22" i="8"/>
  <c r="E86" i="5"/>
  <c r="F17" i="8"/>
  <c r="G11" i="8"/>
  <c r="G9" i="8"/>
  <c r="G20" i="8"/>
  <c r="D327" i="8"/>
  <c r="G14" i="8"/>
  <c r="E30" i="5"/>
  <c r="E32" i="5"/>
  <c r="E31" i="5"/>
  <c r="G117" i="8"/>
  <c r="G168" i="8" s="1"/>
  <c r="H75" i="8"/>
  <c r="F146" i="5"/>
  <c r="B348" i="8"/>
  <c r="R52" i="5"/>
  <c r="S49" i="5"/>
  <c r="C34" i="2"/>
  <c r="C340" i="8"/>
  <c r="C10" i="2" s="1"/>
  <c r="C122" i="8"/>
  <c r="F237" i="8"/>
  <c r="F288" i="8"/>
  <c r="AH70" i="18"/>
  <c r="AF16" i="6" s="1"/>
  <c r="E334" i="8"/>
  <c r="K8" i="17"/>
  <c r="I75" i="18" s="1"/>
  <c r="G7" i="7"/>
  <c r="H6" i="7"/>
  <c r="F137" i="5"/>
  <c r="F331" i="8"/>
  <c r="P47" i="5"/>
  <c r="Q44" i="5"/>
  <c r="F147" i="5"/>
  <c r="F139" i="5"/>
  <c r="F131" i="5"/>
  <c r="F132" i="5"/>
  <c r="D33" i="5"/>
  <c r="E328" i="8"/>
  <c r="F133" i="5"/>
  <c r="F333" i="8"/>
  <c r="F144" i="5"/>
  <c r="F337" i="8"/>
  <c r="F142" i="5"/>
  <c r="F335" i="8"/>
  <c r="F329" i="8"/>
  <c r="F99" i="5"/>
  <c r="F129" i="5"/>
  <c r="K10" i="17"/>
  <c r="I77" i="18" s="1"/>
  <c r="F136" i="5"/>
  <c r="G15" i="5"/>
  <c r="G17" i="5"/>
  <c r="G14" i="5"/>
  <c r="G9" i="5"/>
  <c r="G16" i="5"/>
  <c r="G18" i="5"/>
  <c r="G11" i="5"/>
  <c r="G12" i="5"/>
  <c r="G8" i="5"/>
  <c r="G10" i="5"/>
  <c r="F31" i="7"/>
  <c r="F18" i="7"/>
  <c r="F336" i="8"/>
  <c r="H4" i="18"/>
  <c r="I2" i="18"/>
  <c r="H3" i="18"/>
  <c r="F135" i="5"/>
  <c r="F112" i="5"/>
  <c r="F332" i="8"/>
  <c r="F138" i="5"/>
  <c r="F330" i="8"/>
  <c r="F130" i="5"/>
  <c r="G27" i="5"/>
  <c r="G148" i="5" s="1"/>
  <c r="G23" i="5"/>
  <c r="G25" i="5"/>
  <c r="G21" i="5"/>
  <c r="E140" i="5"/>
  <c r="F68" i="8" l="1"/>
  <c r="F128" i="5"/>
  <c r="J11" i="23" s="1"/>
  <c r="D140" i="5"/>
  <c r="D86" i="5"/>
  <c r="F42" i="8"/>
  <c r="E46" i="8"/>
  <c r="F44" i="8" s="1"/>
  <c r="F45" i="8" s="1"/>
  <c r="H78" i="5"/>
  <c r="H79" i="5" s="1"/>
  <c r="H82" i="5"/>
  <c r="H83" i="5" s="1"/>
  <c r="H80" i="5"/>
  <c r="H84" i="5"/>
  <c r="F20" i="5"/>
  <c r="F28" i="5" s="1"/>
  <c r="F149" i="5" s="1"/>
  <c r="G70" i="5"/>
  <c r="F48" i="8"/>
  <c r="E52" i="8"/>
  <c r="F50" i="8" s="1"/>
  <c r="F51" i="8" s="1"/>
  <c r="E93" i="8"/>
  <c r="E94" i="8" s="1"/>
  <c r="E95" i="8" s="1"/>
  <c r="F62" i="8"/>
  <c r="F36" i="8"/>
  <c r="E40" i="8"/>
  <c r="F38" i="8" s="1"/>
  <c r="G7" i="5"/>
  <c r="G128" i="5" s="1"/>
  <c r="H69" i="5"/>
  <c r="H73" i="5"/>
  <c r="H75" i="5"/>
  <c r="H71" i="5"/>
  <c r="H74" i="5"/>
  <c r="H72" i="5"/>
  <c r="H68" i="5"/>
  <c r="H66" i="5"/>
  <c r="H67" i="5"/>
  <c r="H65" i="5"/>
  <c r="H41" i="18"/>
  <c r="H42" i="18"/>
  <c r="H55" i="18"/>
  <c r="H56" i="18"/>
  <c r="H40" i="18"/>
  <c r="H57" i="18"/>
  <c r="G68" i="8" s="1"/>
  <c r="G64" i="5"/>
  <c r="F56" i="8"/>
  <c r="G81" i="5"/>
  <c r="G85" i="5" s="1"/>
  <c r="G22" i="5"/>
  <c r="G20" i="5" s="1"/>
  <c r="G13" i="5"/>
  <c r="G134" i="5" s="1"/>
  <c r="E223" i="8"/>
  <c r="E58" i="2"/>
  <c r="J12" i="23"/>
  <c r="E57" i="2"/>
  <c r="G26" i="5"/>
  <c r="G24" i="5" s="1"/>
  <c r="E29" i="5"/>
  <c r="E150" i="5" s="1"/>
  <c r="G9" i="23"/>
  <c r="I10" i="23"/>
  <c r="D56" i="2"/>
  <c r="D55" i="2" s="1"/>
  <c r="J13" i="23"/>
  <c r="E59" i="2"/>
  <c r="F19" i="5"/>
  <c r="F140" i="5" s="1"/>
  <c r="F63" i="2"/>
  <c r="K17" i="23"/>
  <c r="C62" i="2"/>
  <c r="E206" i="8"/>
  <c r="E18" i="2" s="1"/>
  <c r="E42" i="2" s="1"/>
  <c r="D61" i="2"/>
  <c r="D206" i="8"/>
  <c r="D18" i="2" s="1"/>
  <c r="D42" i="2" s="1"/>
  <c r="C61" i="2"/>
  <c r="H14" i="23"/>
  <c r="D147" i="8"/>
  <c r="D148" i="8" s="1"/>
  <c r="D23" i="21" s="1"/>
  <c r="H8" i="8"/>
  <c r="E183" i="8"/>
  <c r="H24" i="8"/>
  <c r="F91" i="8"/>
  <c r="F93" i="8" s="1"/>
  <c r="F94" i="8" s="1"/>
  <c r="F95" i="8" s="1"/>
  <c r="D111" i="8"/>
  <c r="D101" i="5"/>
  <c r="D125" i="8"/>
  <c r="D127" i="8" s="1"/>
  <c r="D128" i="8" s="1"/>
  <c r="D129" i="8" s="1"/>
  <c r="E73" i="1"/>
  <c r="F29" i="18" s="1"/>
  <c r="E149" i="8" s="1"/>
  <c r="C147" i="8"/>
  <c r="C148" i="8" s="1"/>
  <c r="E107" i="8"/>
  <c r="E108" i="8" s="1"/>
  <c r="E109" i="8" s="1"/>
  <c r="G27" i="18"/>
  <c r="C74" i="1"/>
  <c r="C156" i="8" s="1"/>
  <c r="C155" i="8" s="1"/>
  <c r="G16" i="23" s="1"/>
  <c r="F145" i="8"/>
  <c r="F105" i="8" s="1"/>
  <c r="F140" i="8"/>
  <c r="F85" i="8" s="1"/>
  <c r="F181" i="8"/>
  <c r="F182" i="8" s="1"/>
  <c r="D190" i="8"/>
  <c r="D191" i="8" s="1"/>
  <c r="E186" i="8"/>
  <c r="E188" i="8" s="1"/>
  <c r="E144" i="8"/>
  <c r="E99" i="8" s="1"/>
  <c r="E142" i="8"/>
  <c r="E29" i="18"/>
  <c r="D149" i="8" s="1"/>
  <c r="F26" i="18"/>
  <c r="CH20" i="19"/>
  <c r="CI20" i="19" s="1"/>
  <c r="CJ20" i="19" s="1"/>
  <c r="CK20" i="19" s="1"/>
  <c r="CL20" i="19" s="1"/>
  <c r="CM20" i="19" s="1"/>
  <c r="CN20" i="19" s="1"/>
  <c r="CO20" i="19" s="1"/>
  <c r="CP20" i="19" s="1"/>
  <c r="CQ20" i="19" s="1"/>
  <c r="CR20" i="19" s="1"/>
  <c r="CS20" i="19" s="1"/>
  <c r="CT20" i="19" s="1"/>
  <c r="CV20" i="19" s="1"/>
  <c r="CG20" i="19"/>
  <c r="I82" i="18"/>
  <c r="E87" i="8"/>
  <c r="E88" i="8" s="1"/>
  <c r="E89" i="8" s="1"/>
  <c r="H5" i="8"/>
  <c r="G4" i="21"/>
  <c r="Y13" i="21"/>
  <c r="H19" i="8"/>
  <c r="H13" i="8"/>
  <c r="I24" i="8" s="1"/>
  <c r="H21" i="8"/>
  <c r="I21" i="8" s="1"/>
  <c r="F63" i="1"/>
  <c r="C103" i="8"/>
  <c r="F178" i="8"/>
  <c r="F180" i="8" s="1"/>
  <c r="F139" i="8"/>
  <c r="F79" i="8" s="1"/>
  <c r="H15" i="8"/>
  <c r="F65" i="1"/>
  <c r="G24" i="18" s="1"/>
  <c r="F195" i="8"/>
  <c r="G67" i="1"/>
  <c r="H17" i="18" s="1"/>
  <c r="G139" i="8" s="1"/>
  <c r="G68" i="1"/>
  <c r="H28" i="18" s="1"/>
  <c r="G69" i="1"/>
  <c r="H19" i="18" s="1"/>
  <c r="G141" i="8" s="1"/>
  <c r="G70" i="1"/>
  <c r="H25" i="18" s="1"/>
  <c r="G145" i="8" s="1"/>
  <c r="G71" i="1"/>
  <c r="H18" i="18" s="1"/>
  <c r="G140" i="8" s="1"/>
  <c r="G72" i="1"/>
  <c r="G61" i="1"/>
  <c r="G62" i="1"/>
  <c r="G58" i="1"/>
  <c r="K12" i="17"/>
  <c r="I79" i="18" s="1"/>
  <c r="G59" i="1"/>
  <c r="G60" i="1"/>
  <c r="F66" i="1"/>
  <c r="G26" i="18" s="1"/>
  <c r="H25" i="8"/>
  <c r="G83" i="18"/>
  <c r="G84" i="18"/>
  <c r="E327" i="8"/>
  <c r="H27" i="8"/>
  <c r="I27" i="8" s="1"/>
  <c r="H26" i="8"/>
  <c r="D199" i="8"/>
  <c r="D224" i="8" s="1"/>
  <c r="H11" i="8"/>
  <c r="C123" i="8"/>
  <c r="C349" i="8" s="1"/>
  <c r="H14" i="8"/>
  <c r="G6" i="5"/>
  <c r="F63" i="5"/>
  <c r="G17" i="8"/>
  <c r="H22" i="8"/>
  <c r="H20" i="8"/>
  <c r="H9" i="8"/>
  <c r="S52" i="5"/>
  <c r="T49" i="5"/>
  <c r="G237" i="8"/>
  <c r="G288" i="8"/>
  <c r="AI70" i="18"/>
  <c r="AG16" i="6" s="1"/>
  <c r="H117" i="8"/>
  <c r="H168" i="8" s="1"/>
  <c r="I75" i="8"/>
  <c r="G146" i="5"/>
  <c r="F86" i="5"/>
  <c r="C350" i="8"/>
  <c r="G138" i="5"/>
  <c r="G332" i="8"/>
  <c r="G336" i="8"/>
  <c r="G18" i="7"/>
  <c r="G31" i="7"/>
  <c r="H15" i="5"/>
  <c r="H18" i="5"/>
  <c r="H8" i="5"/>
  <c r="H11" i="5"/>
  <c r="H10" i="5"/>
  <c r="H9" i="5"/>
  <c r="H14" i="5"/>
  <c r="H12" i="5"/>
  <c r="H16" i="5"/>
  <c r="H17" i="5"/>
  <c r="C197" i="8"/>
  <c r="C198" i="8" s="1"/>
  <c r="C199" i="8" s="1"/>
  <c r="C190" i="8"/>
  <c r="C191" i="8" s="1"/>
  <c r="G131" i="5"/>
  <c r="G139" i="5"/>
  <c r="G136" i="5"/>
  <c r="G132" i="5"/>
  <c r="C42" i="2"/>
  <c r="G333" i="8"/>
  <c r="G133" i="5"/>
  <c r="I3" i="18"/>
  <c r="J2" i="18"/>
  <c r="I4" i="18"/>
  <c r="G99" i="5"/>
  <c r="G129" i="5"/>
  <c r="G329" i="8"/>
  <c r="G112" i="5"/>
  <c r="G135" i="5"/>
  <c r="H23" i="5"/>
  <c r="H21" i="5"/>
  <c r="H27" i="5"/>
  <c r="H25" i="5"/>
  <c r="F328" i="8"/>
  <c r="E33" i="5"/>
  <c r="G331" i="8"/>
  <c r="G137" i="5"/>
  <c r="L10" i="17"/>
  <c r="J77" i="18" s="1"/>
  <c r="I6" i="7"/>
  <c r="H7" i="7"/>
  <c r="G337" i="8"/>
  <c r="G144" i="5"/>
  <c r="G335" i="8"/>
  <c r="G142" i="5"/>
  <c r="G130" i="5"/>
  <c r="G330" i="8"/>
  <c r="Q47" i="5"/>
  <c r="R44" i="5"/>
  <c r="L8" i="17"/>
  <c r="J75" i="18" s="1"/>
  <c r="F334" i="8"/>
  <c r="G145" i="5" l="1"/>
  <c r="G56" i="8"/>
  <c r="G147" i="5"/>
  <c r="G143" i="5"/>
  <c r="H77" i="5"/>
  <c r="H64" i="5"/>
  <c r="D150" i="5"/>
  <c r="D223" i="8"/>
  <c r="F29" i="5"/>
  <c r="F150" i="5" s="1"/>
  <c r="G36" i="8"/>
  <c r="G85" i="8"/>
  <c r="G62" i="8"/>
  <c r="G48" i="8"/>
  <c r="F52" i="8"/>
  <c r="G50" i="8" s="1"/>
  <c r="G51" i="8" s="1"/>
  <c r="G105" i="8"/>
  <c r="F141" i="5"/>
  <c r="J10" i="23" s="1"/>
  <c r="J9" i="23" s="1"/>
  <c r="H70" i="5"/>
  <c r="G42" i="8"/>
  <c r="F46" i="8"/>
  <c r="G44" i="8" s="1"/>
  <c r="G45" i="8" s="1"/>
  <c r="I69" i="5"/>
  <c r="I72" i="5"/>
  <c r="I75" i="5"/>
  <c r="I71" i="5"/>
  <c r="I73" i="5"/>
  <c r="I74" i="5"/>
  <c r="I68" i="5"/>
  <c r="I67" i="5"/>
  <c r="I65" i="5"/>
  <c r="I66" i="5"/>
  <c r="I84" i="5"/>
  <c r="I78" i="5"/>
  <c r="I79" i="5" s="1"/>
  <c r="I82" i="5"/>
  <c r="I83" i="5" s="1"/>
  <c r="I80" i="5"/>
  <c r="I55" i="18"/>
  <c r="H56" i="8" s="1"/>
  <c r="I56" i="18"/>
  <c r="I57" i="18"/>
  <c r="H68" i="8" s="1"/>
  <c r="I41" i="18"/>
  <c r="I42" i="18"/>
  <c r="I40" i="18"/>
  <c r="F39" i="8"/>
  <c r="F40" i="8" s="1"/>
  <c r="G38" i="8" s="1"/>
  <c r="F43" i="5"/>
  <c r="F56" i="5" s="1"/>
  <c r="F100" i="5"/>
  <c r="G76" i="5"/>
  <c r="G86" i="5" s="1"/>
  <c r="H81" i="5"/>
  <c r="H85" i="5" s="1"/>
  <c r="K12" i="23"/>
  <c r="F58" i="2"/>
  <c r="H26" i="5"/>
  <c r="H24" i="5" s="1"/>
  <c r="H22" i="5"/>
  <c r="H20" i="5" s="1"/>
  <c r="H13" i="5"/>
  <c r="H134" i="5" s="1"/>
  <c r="H7" i="5"/>
  <c r="F223" i="8"/>
  <c r="K13" i="23"/>
  <c r="F59" i="2"/>
  <c r="G19" i="5"/>
  <c r="G28" i="5"/>
  <c r="G149" i="5" s="1"/>
  <c r="G141" i="5"/>
  <c r="I9" i="23"/>
  <c r="K11" i="23"/>
  <c r="F57" i="2"/>
  <c r="B62" i="2"/>
  <c r="B60" i="2" s="1"/>
  <c r="C150" i="8"/>
  <c r="G63" i="2"/>
  <c r="L17" i="23"/>
  <c r="C60" i="2"/>
  <c r="G91" i="8"/>
  <c r="G93" i="8" s="1"/>
  <c r="G94" i="8" s="1"/>
  <c r="G95" i="8" s="1"/>
  <c r="G79" i="8"/>
  <c r="I8" i="8"/>
  <c r="C70" i="8"/>
  <c r="C113" i="5" s="1"/>
  <c r="F183" i="8"/>
  <c r="C23" i="21"/>
  <c r="C24" i="21" s="1"/>
  <c r="D150" i="8"/>
  <c r="D82" i="8"/>
  <c r="D83" i="8" s="1"/>
  <c r="E81" i="8" s="1"/>
  <c r="E101" i="5" s="1"/>
  <c r="E125" i="8"/>
  <c r="E127" i="8" s="1"/>
  <c r="E128" i="8" s="1"/>
  <c r="E129" i="8" s="1"/>
  <c r="E74" i="1"/>
  <c r="E156" i="8" s="1"/>
  <c r="E155" i="8" s="1"/>
  <c r="I16" i="23" s="1"/>
  <c r="H27" i="18"/>
  <c r="G187" i="8"/>
  <c r="G181" i="8"/>
  <c r="G182" i="8" s="1"/>
  <c r="G179" i="8"/>
  <c r="F142" i="8"/>
  <c r="E194" i="8"/>
  <c r="E196" i="8" s="1"/>
  <c r="F144" i="8"/>
  <c r="F99" i="8" s="1"/>
  <c r="F186" i="8"/>
  <c r="F194" i="8" s="1"/>
  <c r="F196" i="8" s="1"/>
  <c r="G65" i="1"/>
  <c r="H24" i="18" s="1"/>
  <c r="F154" i="8"/>
  <c r="J15" i="23" s="1"/>
  <c r="E146" i="8"/>
  <c r="E111" i="8" s="1"/>
  <c r="E189" i="8"/>
  <c r="J82" i="18"/>
  <c r="I19" i="8"/>
  <c r="F87" i="8"/>
  <c r="F88" i="8" s="1"/>
  <c r="F89" i="8" s="1"/>
  <c r="I13" i="8"/>
  <c r="J24" i="8" s="1"/>
  <c r="I5" i="8"/>
  <c r="H4" i="21"/>
  <c r="E239" i="8"/>
  <c r="E22" i="21"/>
  <c r="Z13" i="21"/>
  <c r="I10" i="8"/>
  <c r="J10" i="8" s="1"/>
  <c r="G63" i="1"/>
  <c r="G154" i="8" s="1"/>
  <c r="K15" i="23" s="1"/>
  <c r="G178" i="8"/>
  <c r="D101" i="8"/>
  <c r="D119" i="8"/>
  <c r="D121" i="8" s="1"/>
  <c r="E119" i="8"/>
  <c r="F189" i="8"/>
  <c r="F197" i="8" s="1"/>
  <c r="F198" i="8" s="1"/>
  <c r="F146" i="8"/>
  <c r="I14" i="8"/>
  <c r="G142" i="8"/>
  <c r="F73" i="1"/>
  <c r="I26" i="8"/>
  <c r="H58" i="1"/>
  <c r="H67" i="1"/>
  <c r="H68" i="1"/>
  <c r="I28" i="18" s="1"/>
  <c r="H69" i="1"/>
  <c r="I19" i="18" s="1"/>
  <c r="H141" i="8" s="1"/>
  <c r="H70" i="1"/>
  <c r="I25" i="18" s="1"/>
  <c r="H145" i="8" s="1"/>
  <c r="H71" i="1"/>
  <c r="H72" i="1"/>
  <c r="H61" i="1"/>
  <c r="H62" i="1"/>
  <c r="B17" i="19" s="1"/>
  <c r="L12" i="17"/>
  <c r="J79" i="18" s="1"/>
  <c r="H60" i="1"/>
  <c r="H59" i="1"/>
  <c r="G66" i="1"/>
  <c r="H83" i="18"/>
  <c r="H84" i="18"/>
  <c r="D240" i="8"/>
  <c r="I16" i="8"/>
  <c r="J16" i="8" s="1"/>
  <c r="D14" i="2"/>
  <c r="D15" i="2" s="1"/>
  <c r="H17" i="8"/>
  <c r="I22" i="8"/>
  <c r="I11" i="8"/>
  <c r="I25" i="8"/>
  <c r="I15" i="8"/>
  <c r="G63" i="5"/>
  <c r="H6" i="5"/>
  <c r="I9" i="8"/>
  <c r="H136" i="5"/>
  <c r="E290" i="8"/>
  <c r="I20" i="8"/>
  <c r="H131" i="5"/>
  <c r="H139" i="5"/>
  <c r="D350" i="8"/>
  <c r="F327" i="8"/>
  <c r="G328" i="8"/>
  <c r="H288" i="8"/>
  <c r="H237" i="8"/>
  <c r="G334" i="8"/>
  <c r="I117" i="8"/>
  <c r="I168" i="8" s="1"/>
  <c r="J75" i="8"/>
  <c r="AJ70" i="18"/>
  <c r="AH16" i="6" s="1"/>
  <c r="U49" i="5"/>
  <c r="T52" i="5"/>
  <c r="H31" i="7"/>
  <c r="H18" i="7"/>
  <c r="R47" i="5"/>
  <c r="S44" i="5"/>
  <c r="M8" i="17"/>
  <c r="K75" i="18" s="1"/>
  <c r="I7" i="7"/>
  <c r="J6" i="7"/>
  <c r="H337" i="8"/>
  <c r="H144" i="5"/>
  <c r="C224" i="8"/>
  <c r="C227" i="8" s="1"/>
  <c r="C14" i="2"/>
  <c r="C240" i="8"/>
  <c r="H331" i="8"/>
  <c r="H137" i="5"/>
  <c r="I25" i="5"/>
  <c r="I23" i="5"/>
  <c r="I27" i="5"/>
  <c r="I21" i="5"/>
  <c r="H336" i="8"/>
  <c r="C115" i="8"/>
  <c r="C131" i="8"/>
  <c r="C135" i="8" s="1"/>
  <c r="C351" i="8" s="1"/>
  <c r="M10" i="17"/>
  <c r="K77" i="18" s="1"/>
  <c r="H335" i="8"/>
  <c r="H142" i="5"/>
  <c r="H133" i="5"/>
  <c r="H333" i="8"/>
  <c r="H112" i="5"/>
  <c r="H135" i="5"/>
  <c r="H146" i="5"/>
  <c r="H132" i="5"/>
  <c r="H138" i="5"/>
  <c r="H332" i="8"/>
  <c r="H329" i="8"/>
  <c r="H99" i="5"/>
  <c r="H129" i="5"/>
  <c r="I10" i="5"/>
  <c r="I12" i="5"/>
  <c r="I11" i="5"/>
  <c r="I18" i="5"/>
  <c r="I15" i="5"/>
  <c r="I14" i="5"/>
  <c r="I17" i="5"/>
  <c r="I8" i="5"/>
  <c r="I9" i="5"/>
  <c r="I16" i="5"/>
  <c r="J4" i="18"/>
  <c r="K2" i="18"/>
  <c r="J3" i="18"/>
  <c r="H130" i="5"/>
  <c r="H330" i="8"/>
  <c r="H148" i="5"/>
  <c r="I64" i="5" l="1"/>
  <c r="H76" i="5"/>
  <c r="F111" i="8"/>
  <c r="G195" i="8"/>
  <c r="I81" i="5"/>
  <c r="H145" i="5"/>
  <c r="I77" i="5"/>
  <c r="I85" i="5" s="1"/>
  <c r="D22" i="21"/>
  <c r="D24" i="21" s="1"/>
  <c r="D290" i="8"/>
  <c r="D239" i="8"/>
  <c r="D241" i="8" s="1"/>
  <c r="H105" i="8"/>
  <c r="G39" i="8"/>
  <c r="G43" i="5"/>
  <c r="G56" i="5" s="1"/>
  <c r="G100" i="5"/>
  <c r="H36" i="8"/>
  <c r="G40" i="8"/>
  <c r="H38" i="8" s="1"/>
  <c r="J55" i="18"/>
  <c r="I56" i="8" s="1"/>
  <c r="J56" i="18"/>
  <c r="J42" i="18"/>
  <c r="J40" i="18"/>
  <c r="J57" i="18"/>
  <c r="I68" i="8" s="1"/>
  <c r="J41" i="18"/>
  <c r="E56" i="2"/>
  <c r="E55" i="2" s="1"/>
  <c r="I70" i="5"/>
  <c r="I76" i="5" s="1"/>
  <c r="H62" i="8"/>
  <c r="I7" i="5"/>
  <c r="I128" i="5" s="1"/>
  <c r="J78" i="5"/>
  <c r="J79" i="5" s="1"/>
  <c r="J80" i="5"/>
  <c r="J84" i="5"/>
  <c r="J82" i="5"/>
  <c r="J83" i="5" s="1"/>
  <c r="G29" i="5"/>
  <c r="G150" i="5" s="1"/>
  <c r="F32" i="5"/>
  <c r="F30" i="5"/>
  <c r="F31" i="5"/>
  <c r="H42" i="8"/>
  <c r="G46" i="8"/>
  <c r="H44" i="8" s="1"/>
  <c r="H45" i="8" s="1"/>
  <c r="J69" i="5"/>
  <c r="J74" i="5"/>
  <c r="J72" i="5"/>
  <c r="J75" i="5"/>
  <c r="J73" i="5"/>
  <c r="J71" i="5"/>
  <c r="J67" i="5"/>
  <c r="J65" i="5"/>
  <c r="J68" i="5"/>
  <c r="J66" i="5"/>
  <c r="H48" i="8"/>
  <c r="G52" i="8"/>
  <c r="H50" i="8" s="1"/>
  <c r="H51" i="8" s="1"/>
  <c r="G58" i="2"/>
  <c r="L12" i="23"/>
  <c r="H28" i="5"/>
  <c r="H149" i="5" s="1"/>
  <c r="H141" i="5"/>
  <c r="I13" i="5"/>
  <c r="I134" i="5" s="1"/>
  <c r="I22" i="5"/>
  <c r="I20" i="5" s="1"/>
  <c r="G223" i="8"/>
  <c r="K10" i="23"/>
  <c r="K9" i="23" s="1"/>
  <c r="F56" i="2"/>
  <c r="F55" i="2" s="1"/>
  <c r="L13" i="23"/>
  <c r="G59" i="2"/>
  <c r="G140" i="5"/>
  <c r="H143" i="5"/>
  <c r="I26" i="5"/>
  <c r="I24" i="5" s="1"/>
  <c r="I145" i="5" s="1"/>
  <c r="H147" i="5"/>
  <c r="H19" i="5"/>
  <c r="H140" i="5" s="1"/>
  <c r="H128" i="5"/>
  <c r="H63" i="2"/>
  <c r="M17" i="23"/>
  <c r="D62" i="2"/>
  <c r="D60" i="2" s="1"/>
  <c r="I14" i="23"/>
  <c r="G206" i="8"/>
  <c r="G18" i="2" s="1"/>
  <c r="G42" i="2" s="1"/>
  <c r="F61" i="2"/>
  <c r="F206" i="8"/>
  <c r="F18" i="2" s="1"/>
  <c r="F42" i="2" s="1"/>
  <c r="E61" i="2"/>
  <c r="G14" i="23"/>
  <c r="J19" i="8"/>
  <c r="H91" i="8"/>
  <c r="H93" i="8" s="1"/>
  <c r="H94" i="8" s="1"/>
  <c r="H95" i="8" s="1"/>
  <c r="C10" i="6"/>
  <c r="C11" i="6" s="1"/>
  <c r="C15" i="6" s="1"/>
  <c r="C17" i="6" s="1"/>
  <c r="C71" i="8"/>
  <c r="C72" i="8" s="1"/>
  <c r="C48" i="5"/>
  <c r="C114" i="5"/>
  <c r="D102" i="8"/>
  <c r="E147" i="8"/>
  <c r="E148" i="8" s="1"/>
  <c r="E150" i="8" s="1"/>
  <c r="F107" i="8"/>
  <c r="F108" i="8" s="1"/>
  <c r="F109" i="8" s="1"/>
  <c r="G107" i="8" s="1"/>
  <c r="G108" i="8" s="1"/>
  <c r="G109" i="8" s="1"/>
  <c r="F147" i="8"/>
  <c r="F148" i="8" s="1"/>
  <c r="F23" i="21" s="1"/>
  <c r="F125" i="8"/>
  <c r="F127" i="8" s="1"/>
  <c r="F128" i="8" s="1"/>
  <c r="F129" i="8" s="1"/>
  <c r="H181" i="8"/>
  <c r="H182" i="8" s="1"/>
  <c r="G180" i="8"/>
  <c r="G183" i="8" s="1"/>
  <c r="H187" i="8"/>
  <c r="B18" i="19"/>
  <c r="I27" i="18"/>
  <c r="I18" i="18"/>
  <c r="I17" i="18"/>
  <c r="H178" i="8" s="1"/>
  <c r="F188" i="8"/>
  <c r="E82" i="8"/>
  <c r="E83" i="8" s="1"/>
  <c r="F81" i="8" s="1"/>
  <c r="F101" i="5" s="1"/>
  <c r="G186" i="8"/>
  <c r="G188" i="8" s="1"/>
  <c r="G144" i="8"/>
  <c r="G99" i="8" s="1"/>
  <c r="E197" i="8"/>
  <c r="E198" i="8" s="1"/>
  <c r="E199" i="8" s="1"/>
  <c r="E190" i="8"/>
  <c r="E191" i="8" s="1"/>
  <c r="G73" i="1"/>
  <c r="H29" i="18" s="1"/>
  <c r="G149" i="8" s="1"/>
  <c r="G29" i="18"/>
  <c r="F149" i="8" s="1"/>
  <c r="H26" i="18"/>
  <c r="J8" i="8"/>
  <c r="K8" i="8" s="1"/>
  <c r="K82" i="18"/>
  <c r="G87" i="8"/>
  <c r="G88" i="8" s="1"/>
  <c r="G89" i="8" s="1"/>
  <c r="J13" i="8"/>
  <c r="K13" i="8" s="1"/>
  <c r="J21" i="8"/>
  <c r="K21" i="8" s="1"/>
  <c r="C241" i="8"/>
  <c r="J5" i="8"/>
  <c r="I4" i="21"/>
  <c r="F239" i="8"/>
  <c r="F22" i="21"/>
  <c r="AA13" i="21"/>
  <c r="J14" i="8"/>
  <c r="J15" i="8"/>
  <c r="H63" i="1"/>
  <c r="H154" i="8" s="1"/>
  <c r="L15" i="23" s="1"/>
  <c r="B15" i="19"/>
  <c r="F190" i="8"/>
  <c r="J25" i="8"/>
  <c r="F119" i="8"/>
  <c r="F74" i="1"/>
  <c r="F156" i="8" s="1"/>
  <c r="F155" i="8" s="1"/>
  <c r="J16" i="23" s="1"/>
  <c r="I187" i="8"/>
  <c r="I145" i="8"/>
  <c r="I179" i="8"/>
  <c r="I140" i="8"/>
  <c r="I181" i="8"/>
  <c r="I141" i="8"/>
  <c r="D122" i="8"/>
  <c r="D123" i="8" s="1"/>
  <c r="D349" i="8" s="1"/>
  <c r="H65" i="1"/>
  <c r="I24" i="18" s="1"/>
  <c r="M12" i="17"/>
  <c r="K79" i="18" s="1"/>
  <c r="H66" i="1"/>
  <c r="I26" i="18" s="1"/>
  <c r="F199" i="8"/>
  <c r="B16" i="19"/>
  <c r="I131" i="5"/>
  <c r="I83" i="18"/>
  <c r="I84" i="18"/>
  <c r="I139" i="5"/>
  <c r="D38" i="2"/>
  <c r="D39" i="2" s="1"/>
  <c r="J27" i="8"/>
  <c r="K16" i="8" s="1"/>
  <c r="I17" i="8"/>
  <c r="J11" i="8"/>
  <c r="J22" i="8"/>
  <c r="J26" i="8"/>
  <c r="I6" i="5"/>
  <c r="H63" i="5"/>
  <c r="J9" i="8"/>
  <c r="F290" i="8"/>
  <c r="H334" i="8"/>
  <c r="J20" i="8"/>
  <c r="D113" i="8"/>
  <c r="D114" i="8" s="1"/>
  <c r="D115" i="8" s="1"/>
  <c r="G327" i="8"/>
  <c r="J117" i="8"/>
  <c r="J168" i="8" s="1"/>
  <c r="K75" i="8"/>
  <c r="I288" i="8"/>
  <c r="I237" i="8"/>
  <c r="AK70" i="18"/>
  <c r="AI16" i="6" s="1"/>
  <c r="I132" i="5"/>
  <c r="H86" i="5"/>
  <c r="U52" i="5"/>
  <c r="V49" i="5"/>
  <c r="G125" i="8"/>
  <c r="E350" i="8"/>
  <c r="I146" i="5"/>
  <c r="I130" i="5"/>
  <c r="I330" i="8"/>
  <c r="K4" i="18"/>
  <c r="K3" i="18"/>
  <c r="L2" i="18"/>
  <c r="I331" i="8"/>
  <c r="I137" i="5"/>
  <c r="I112" i="5"/>
  <c r="I135" i="5"/>
  <c r="J27" i="5"/>
  <c r="J21" i="5"/>
  <c r="J23" i="5"/>
  <c r="J25" i="5"/>
  <c r="I144" i="5"/>
  <c r="I337" i="8"/>
  <c r="I31" i="7"/>
  <c r="I18" i="7"/>
  <c r="I148" i="5"/>
  <c r="K6" i="7"/>
  <c r="J7" i="7"/>
  <c r="I332" i="8"/>
  <c r="I138" i="5"/>
  <c r="I129" i="5"/>
  <c r="I99" i="5"/>
  <c r="I329" i="8"/>
  <c r="I133" i="5"/>
  <c r="I333" i="8"/>
  <c r="C348" i="8"/>
  <c r="C15" i="2"/>
  <c r="C38" i="2"/>
  <c r="C39" i="2" s="1"/>
  <c r="N8" i="17"/>
  <c r="L75" i="18" s="1"/>
  <c r="S47" i="5"/>
  <c r="T44" i="5"/>
  <c r="H328" i="8"/>
  <c r="I335" i="8"/>
  <c r="I142" i="5"/>
  <c r="J18" i="5"/>
  <c r="J15" i="5"/>
  <c r="J12" i="5"/>
  <c r="J14" i="5"/>
  <c r="J10" i="5"/>
  <c r="J11" i="5"/>
  <c r="J16" i="5"/>
  <c r="J17" i="5"/>
  <c r="J9" i="5"/>
  <c r="J8" i="5"/>
  <c r="N10" i="17"/>
  <c r="L77" i="18" s="1"/>
  <c r="D131" i="8"/>
  <c r="D133" i="8" s="1"/>
  <c r="I336" i="8"/>
  <c r="I143" i="5"/>
  <c r="I136" i="5"/>
  <c r="I105" i="8" l="1"/>
  <c r="J105" i="8" s="1"/>
  <c r="K105" i="8" s="1"/>
  <c r="L105" i="8" s="1"/>
  <c r="M105" i="8" s="1"/>
  <c r="N105" i="8" s="1"/>
  <c r="O105" i="8" s="1"/>
  <c r="P105" i="8" s="1"/>
  <c r="Q105" i="8" s="1"/>
  <c r="R105" i="8" s="1"/>
  <c r="S105" i="8" s="1"/>
  <c r="T105" i="8" s="1"/>
  <c r="U105" i="8" s="1"/>
  <c r="V105" i="8" s="1"/>
  <c r="W105" i="8" s="1"/>
  <c r="X105" i="8" s="1"/>
  <c r="Y105" i="8" s="1"/>
  <c r="Z105" i="8" s="1"/>
  <c r="AA105" i="8" s="1"/>
  <c r="AB105" i="8" s="1"/>
  <c r="AC105" i="8" s="1"/>
  <c r="AD105" i="8" s="1"/>
  <c r="AE105" i="8" s="1"/>
  <c r="AF105" i="8" s="1"/>
  <c r="AG105" i="8" s="1"/>
  <c r="AH105" i="8" s="1"/>
  <c r="AI105" i="8" s="1"/>
  <c r="I36" i="8"/>
  <c r="I62" i="8"/>
  <c r="J64" i="5"/>
  <c r="H29" i="5"/>
  <c r="K84" i="5"/>
  <c r="K78" i="5"/>
  <c r="K79" i="5" s="1"/>
  <c r="K82" i="5"/>
  <c r="K83" i="5" s="1"/>
  <c r="K80" i="5"/>
  <c r="I48" i="8"/>
  <c r="H52" i="8"/>
  <c r="I50" i="8" s="1"/>
  <c r="I51" i="8" s="1"/>
  <c r="I42" i="8"/>
  <c r="H46" i="8"/>
  <c r="I44" i="8" s="1"/>
  <c r="I45" i="8" s="1"/>
  <c r="G32" i="5"/>
  <c r="G30" i="5"/>
  <c r="G31" i="5"/>
  <c r="K69" i="5"/>
  <c r="K74" i="5"/>
  <c r="K71" i="5"/>
  <c r="K72" i="5"/>
  <c r="K75" i="5"/>
  <c r="K73" i="5"/>
  <c r="K65" i="5"/>
  <c r="K67" i="5"/>
  <c r="K68" i="5"/>
  <c r="K66" i="5"/>
  <c r="J70" i="5"/>
  <c r="J76" i="5" s="1"/>
  <c r="J77" i="5"/>
  <c r="H39" i="8"/>
  <c r="H40" i="8" s="1"/>
  <c r="I38" i="8" s="1"/>
  <c r="H43" i="5"/>
  <c r="H56" i="5" s="1"/>
  <c r="H100" i="5"/>
  <c r="K55" i="18"/>
  <c r="J56" i="8" s="1"/>
  <c r="K56" i="18"/>
  <c r="K42" i="18"/>
  <c r="K40" i="18"/>
  <c r="K57" i="18"/>
  <c r="J68" i="8" s="1"/>
  <c r="K41" i="18"/>
  <c r="F33" i="5"/>
  <c r="J81" i="5"/>
  <c r="M12" i="23"/>
  <c r="H58" i="2"/>
  <c r="L11" i="23"/>
  <c r="G57" i="2"/>
  <c r="I28" i="5"/>
  <c r="I149" i="5" s="1"/>
  <c r="I141" i="5"/>
  <c r="M13" i="23"/>
  <c r="H59" i="2"/>
  <c r="I19" i="5"/>
  <c r="J7" i="5"/>
  <c r="J13" i="5"/>
  <c r="J134" i="5" s="1"/>
  <c r="I147" i="5"/>
  <c r="J26" i="5"/>
  <c r="J147" i="5" s="1"/>
  <c r="J22" i="5"/>
  <c r="J143" i="5" s="1"/>
  <c r="H223" i="8"/>
  <c r="H150" i="5"/>
  <c r="M11" i="23"/>
  <c r="H57" i="2"/>
  <c r="L10" i="23"/>
  <c r="G56" i="2"/>
  <c r="G55" i="2" s="1"/>
  <c r="H206" i="8"/>
  <c r="H18" i="2" s="1"/>
  <c r="H42" i="2" s="1"/>
  <c r="G61" i="2"/>
  <c r="E23" i="21"/>
  <c r="E24" i="21" s="1"/>
  <c r="I63" i="2"/>
  <c r="N17" i="23"/>
  <c r="E62" i="2"/>
  <c r="E60" i="2" s="1"/>
  <c r="K14" i="8"/>
  <c r="F24" i="21"/>
  <c r="I91" i="8"/>
  <c r="J91" i="8" s="1"/>
  <c r="K91" i="8" s="1"/>
  <c r="L91" i="8" s="1"/>
  <c r="M91" i="8" s="1"/>
  <c r="N91" i="8" s="1"/>
  <c r="O91" i="8" s="1"/>
  <c r="P91" i="8" s="1"/>
  <c r="Q91" i="8" s="1"/>
  <c r="R91" i="8" s="1"/>
  <c r="S91" i="8" s="1"/>
  <c r="T91" i="8" s="1"/>
  <c r="U91" i="8" s="1"/>
  <c r="V91" i="8" s="1"/>
  <c r="W91" i="8" s="1"/>
  <c r="X91" i="8" s="1"/>
  <c r="Y91" i="8" s="1"/>
  <c r="Z91" i="8" s="1"/>
  <c r="AA91" i="8" s="1"/>
  <c r="AB91" i="8" s="1"/>
  <c r="AC91" i="8" s="1"/>
  <c r="AD91" i="8" s="1"/>
  <c r="AE91" i="8" s="1"/>
  <c r="AF91" i="8" s="1"/>
  <c r="AG91" i="8" s="1"/>
  <c r="AH91" i="8" s="1"/>
  <c r="AI91" i="8" s="1"/>
  <c r="D58" i="8"/>
  <c r="D103" i="8"/>
  <c r="F150" i="8"/>
  <c r="F82" i="8"/>
  <c r="F83" i="8" s="1"/>
  <c r="G81" i="8" s="1"/>
  <c r="G101" i="5" s="1"/>
  <c r="H107" i="8"/>
  <c r="H108" i="8" s="1"/>
  <c r="H109" i="8" s="1"/>
  <c r="I107" i="8" s="1"/>
  <c r="I108" i="8" s="1"/>
  <c r="I109" i="8" s="1"/>
  <c r="H179" i="8"/>
  <c r="H140" i="8"/>
  <c r="H85" i="8" s="1"/>
  <c r="I85" i="8" s="1"/>
  <c r="J85" i="8" s="1"/>
  <c r="K85" i="8" s="1"/>
  <c r="L85" i="8" s="1"/>
  <c r="M85" i="8" s="1"/>
  <c r="N85" i="8" s="1"/>
  <c r="O85" i="8" s="1"/>
  <c r="P85" i="8" s="1"/>
  <c r="Q85" i="8" s="1"/>
  <c r="R85" i="8" s="1"/>
  <c r="S85" i="8" s="1"/>
  <c r="T85" i="8" s="1"/>
  <c r="U85" i="8" s="1"/>
  <c r="V85" i="8" s="1"/>
  <c r="W85" i="8" s="1"/>
  <c r="X85" i="8" s="1"/>
  <c r="Y85" i="8" s="1"/>
  <c r="Z85" i="8" s="1"/>
  <c r="AA85" i="8" s="1"/>
  <c r="AB85" i="8" s="1"/>
  <c r="AC85" i="8" s="1"/>
  <c r="AD85" i="8" s="1"/>
  <c r="AE85" i="8" s="1"/>
  <c r="AF85" i="8" s="1"/>
  <c r="AG85" i="8" s="1"/>
  <c r="AH85" i="8" s="1"/>
  <c r="AI85" i="8" s="1"/>
  <c r="H139" i="8"/>
  <c r="H79" i="8" s="1"/>
  <c r="R186" i="8"/>
  <c r="R144" i="8"/>
  <c r="R147" i="8" s="1"/>
  <c r="R148" i="8" s="1"/>
  <c r="F191" i="8"/>
  <c r="G194" i="8"/>
  <c r="G196" i="8" s="1"/>
  <c r="H186" i="8"/>
  <c r="H194" i="8" s="1"/>
  <c r="H144" i="8"/>
  <c r="H99" i="8" s="1"/>
  <c r="E240" i="8"/>
  <c r="E241" i="8" s="1"/>
  <c r="E14" i="2"/>
  <c r="E224" i="8"/>
  <c r="G74" i="1"/>
  <c r="G156" i="8" s="1"/>
  <c r="G155" i="8" s="1"/>
  <c r="K16" i="23" s="1"/>
  <c r="G189" i="8"/>
  <c r="G146" i="8"/>
  <c r="G111" i="8" s="1"/>
  <c r="K19" i="8"/>
  <c r="L82" i="18"/>
  <c r="K10" i="8"/>
  <c r="L21" i="8" s="1"/>
  <c r="I206" i="8"/>
  <c r="I18" i="2" s="1"/>
  <c r="I42" i="2" s="1"/>
  <c r="K24" i="8"/>
  <c r="G239" i="8"/>
  <c r="G22" i="21"/>
  <c r="K5" i="8"/>
  <c r="J4" i="21"/>
  <c r="AB13" i="21"/>
  <c r="K26" i="8"/>
  <c r="K25" i="8"/>
  <c r="L25" i="8" s="1"/>
  <c r="G119" i="8"/>
  <c r="B19" i="19"/>
  <c r="I186" i="8"/>
  <c r="I188" i="8" s="1"/>
  <c r="I144" i="8"/>
  <c r="H189" i="8"/>
  <c r="H190" i="8" s="1"/>
  <c r="H146" i="8"/>
  <c r="I178" i="8"/>
  <c r="I180" i="8" s="1"/>
  <c r="I139" i="8"/>
  <c r="I142" i="8" s="1"/>
  <c r="E121" i="8"/>
  <c r="K27" i="8"/>
  <c r="L16" i="8" s="1"/>
  <c r="F240" i="8"/>
  <c r="F14" i="2"/>
  <c r="F224" i="8"/>
  <c r="I195" i="8"/>
  <c r="H73" i="1"/>
  <c r="B22" i="19"/>
  <c r="I182" i="8"/>
  <c r="N12" i="17"/>
  <c r="L79" i="18" s="1"/>
  <c r="J190" i="8"/>
  <c r="J188" i="8"/>
  <c r="J83" i="18"/>
  <c r="J84" i="18"/>
  <c r="K15" i="8"/>
  <c r="K11" i="8"/>
  <c r="J17" i="8"/>
  <c r="K22" i="8"/>
  <c r="J6" i="5"/>
  <c r="I63" i="5"/>
  <c r="K9" i="8"/>
  <c r="K20" i="8"/>
  <c r="I86" i="5"/>
  <c r="H327" i="8"/>
  <c r="E113" i="8"/>
  <c r="G290" i="8"/>
  <c r="J139" i="5"/>
  <c r="I140" i="5"/>
  <c r="F350" i="8"/>
  <c r="G127" i="8"/>
  <c r="G128" i="8" s="1"/>
  <c r="G129" i="8" s="1"/>
  <c r="J237" i="8"/>
  <c r="J288" i="8"/>
  <c r="V52" i="5"/>
  <c r="W49" i="5"/>
  <c r="J132" i="5"/>
  <c r="J148" i="5"/>
  <c r="K117" i="8"/>
  <c r="K168" i="8" s="1"/>
  <c r="L75" i="8"/>
  <c r="I328" i="8"/>
  <c r="J332" i="8"/>
  <c r="J138" i="5"/>
  <c r="K7" i="7"/>
  <c r="L6" i="7"/>
  <c r="J336" i="8"/>
  <c r="J8" i="7"/>
  <c r="J136" i="5"/>
  <c r="J146" i="5"/>
  <c r="O10" i="17"/>
  <c r="M77" i="18" s="1"/>
  <c r="J112" i="5"/>
  <c r="J135" i="5"/>
  <c r="K12" i="5"/>
  <c r="K15" i="5"/>
  <c r="K10" i="5"/>
  <c r="K11" i="5"/>
  <c r="K17" i="5"/>
  <c r="K18" i="5"/>
  <c r="K14" i="5"/>
  <c r="K9" i="5"/>
  <c r="K16" i="5"/>
  <c r="K8" i="5"/>
  <c r="D134" i="8"/>
  <c r="D135" i="8" s="1"/>
  <c r="D351" i="8" s="1"/>
  <c r="D340" i="8"/>
  <c r="D10" i="2" s="1"/>
  <c r="D34" i="2"/>
  <c r="J31" i="7"/>
  <c r="J18" i="7"/>
  <c r="J337" i="8"/>
  <c r="J144" i="5"/>
  <c r="L3" i="18"/>
  <c r="L4" i="18"/>
  <c r="M2" i="18"/>
  <c r="J329" i="8"/>
  <c r="J129" i="5"/>
  <c r="J99" i="5"/>
  <c r="J133" i="5"/>
  <c r="J333" i="8"/>
  <c r="U44" i="5"/>
  <c r="T47" i="5"/>
  <c r="E131" i="8"/>
  <c r="K27" i="5"/>
  <c r="K25" i="5"/>
  <c r="K23" i="5"/>
  <c r="K21" i="5"/>
  <c r="J137" i="5"/>
  <c r="J331" i="8"/>
  <c r="J130" i="5"/>
  <c r="J330" i="8"/>
  <c r="O8" i="17"/>
  <c r="M75" i="18" s="1"/>
  <c r="J335" i="8"/>
  <c r="J142" i="5"/>
  <c r="J205" i="8"/>
  <c r="J20" i="2" s="1"/>
  <c r="J305" i="8"/>
  <c r="I29" i="5"/>
  <c r="J131" i="5"/>
  <c r="I334" i="8"/>
  <c r="K81" i="5" l="1"/>
  <c r="J36" i="8"/>
  <c r="J62" i="8"/>
  <c r="K77" i="5"/>
  <c r="J85" i="5"/>
  <c r="J20" i="5"/>
  <c r="K85" i="5"/>
  <c r="I39" i="8"/>
  <c r="I40" i="8" s="1"/>
  <c r="J38" i="8" s="1"/>
  <c r="I43" i="5"/>
  <c r="I56" i="5" s="1"/>
  <c r="I100" i="5"/>
  <c r="L41" i="18"/>
  <c r="L40" i="18"/>
  <c r="K36" i="8" s="1"/>
  <c r="L55" i="18"/>
  <c r="L56" i="18"/>
  <c r="L42" i="18"/>
  <c r="L57" i="18"/>
  <c r="K68" i="8" s="1"/>
  <c r="K7" i="5"/>
  <c r="L80" i="5"/>
  <c r="L78" i="5"/>
  <c r="L79" i="5" s="1"/>
  <c r="L77" i="5" s="1"/>
  <c r="L84" i="5"/>
  <c r="L82" i="5"/>
  <c r="L83" i="5" s="1"/>
  <c r="J24" i="5"/>
  <c r="J145" i="5" s="1"/>
  <c r="K64" i="5"/>
  <c r="K128" i="5" s="1"/>
  <c r="K70" i="5"/>
  <c r="G33" i="5"/>
  <c r="J42" i="8"/>
  <c r="I46" i="8"/>
  <c r="J44" i="8" s="1"/>
  <c r="J45" i="8" s="1"/>
  <c r="J48" i="8"/>
  <c r="I52" i="8"/>
  <c r="J50" i="8" s="1"/>
  <c r="J51" i="8" s="1"/>
  <c r="H31" i="5"/>
  <c r="H32" i="5"/>
  <c r="H30" i="5"/>
  <c r="K56" i="8"/>
  <c r="L69" i="5"/>
  <c r="L75" i="5"/>
  <c r="L73" i="5"/>
  <c r="L74" i="5"/>
  <c r="L72" i="5"/>
  <c r="L71" i="5"/>
  <c r="L70" i="5" s="1"/>
  <c r="L68" i="5"/>
  <c r="L66" i="5"/>
  <c r="L67" i="5"/>
  <c r="L65" i="5"/>
  <c r="L64" i="5" s="1"/>
  <c r="K22" i="5"/>
  <c r="K143" i="5" s="1"/>
  <c r="K26" i="5"/>
  <c r="K24" i="5" s="1"/>
  <c r="K145" i="5" s="1"/>
  <c r="I223" i="8"/>
  <c r="I150" i="5"/>
  <c r="J141" i="5"/>
  <c r="I58" i="2"/>
  <c r="N12" i="23"/>
  <c r="N13" i="23"/>
  <c r="I59" i="2"/>
  <c r="M10" i="23"/>
  <c r="M9" i="23" s="1"/>
  <c r="H56" i="2"/>
  <c r="H55" i="2" s="1"/>
  <c r="K13" i="5"/>
  <c r="K134" i="5" s="1"/>
  <c r="L9" i="23"/>
  <c r="J19" i="5"/>
  <c r="J128" i="5"/>
  <c r="J63" i="2"/>
  <c r="O17" i="23"/>
  <c r="F62" i="2"/>
  <c r="F60" i="2" s="1"/>
  <c r="K14" i="23"/>
  <c r="J14" i="23"/>
  <c r="L10" i="8"/>
  <c r="H111" i="8"/>
  <c r="I79" i="8"/>
  <c r="J79" i="8" s="1"/>
  <c r="K79" i="8" s="1"/>
  <c r="L79" i="8" s="1"/>
  <c r="M79" i="8" s="1"/>
  <c r="N79" i="8" s="1"/>
  <c r="O79" i="8" s="1"/>
  <c r="P79" i="8" s="1"/>
  <c r="Q79" i="8" s="1"/>
  <c r="R79" i="8" s="1"/>
  <c r="S79" i="8" s="1"/>
  <c r="T79" i="8" s="1"/>
  <c r="U79" i="8" s="1"/>
  <c r="V79" i="8" s="1"/>
  <c r="W79" i="8" s="1"/>
  <c r="X79" i="8" s="1"/>
  <c r="Y79" i="8" s="1"/>
  <c r="Z79" i="8" s="1"/>
  <c r="AA79" i="8" s="1"/>
  <c r="AB79" i="8" s="1"/>
  <c r="AC79" i="8" s="1"/>
  <c r="AD79" i="8" s="1"/>
  <c r="AE79" i="8" s="1"/>
  <c r="AF79" i="8" s="1"/>
  <c r="AG79" i="8" s="1"/>
  <c r="AH79" i="8" s="1"/>
  <c r="AI79" i="8" s="1"/>
  <c r="D10" i="6"/>
  <c r="D11" i="6" s="1"/>
  <c r="L24" i="8"/>
  <c r="L8" i="8"/>
  <c r="D59" i="8"/>
  <c r="D60" i="8" s="1"/>
  <c r="I99" i="8"/>
  <c r="J99" i="8" s="1"/>
  <c r="K99" i="8" s="1"/>
  <c r="L99" i="8" s="1"/>
  <c r="M99" i="8" s="1"/>
  <c r="N99" i="8" s="1"/>
  <c r="O99" i="8" s="1"/>
  <c r="P99" i="8" s="1"/>
  <c r="Q99" i="8" s="1"/>
  <c r="R99" i="8" s="1"/>
  <c r="S99" i="8" s="1"/>
  <c r="T99" i="8" s="1"/>
  <c r="U99" i="8" s="1"/>
  <c r="V99" i="8" s="1"/>
  <c r="W99" i="8" s="1"/>
  <c r="X99" i="8" s="1"/>
  <c r="Y99" i="8" s="1"/>
  <c r="Z99" i="8" s="1"/>
  <c r="AA99" i="8" s="1"/>
  <c r="AB99" i="8" s="1"/>
  <c r="AC99" i="8" s="1"/>
  <c r="AD99" i="8" s="1"/>
  <c r="AE99" i="8" s="1"/>
  <c r="AF99" i="8" s="1"/>
  <c r="AG99" i="8" s="1"/>
  <c r="AH99" i="8" s="1"/>
  <c r="AI99" i="8" s="1"/>
  <c r="E101" i="8"/>
  <c r="D64" i="8"/>
  <c r="L19" i="8"/>
  <c r="M82" i="18"/>
  <c r="I93" i="8"/>
  <c r="I94" i="8" s="1"/>
  <c r="I95" i="8" s="1"/>
  <c r="J93" i="8" s="1"/>
  <c r="J94" i="8" s="1"/>
  <c r="J95" i="8" s="1"/>
  <c r="H147" i="8"/>
  <c r="G82" i="8"/>
  <c r="G83" i="8" s="1"/>
  <c r="H81" i="8" s="1"/>
  <c r="G147" i="8"/>
  <c r="G148" i="8" s="1"/>
  <c r="H195" i="8"/>
  <c r="H196" i="8" s="1"/>
  <c r="H180" i="8"/>
  <c r="H183" i="8" s="1"/>
  <c r="H142" i="8"/>
  <c r="R23" i="21"/>
  <c r="R150" i="8"/>
  <c r="H188" i="8"/>
  <c r="H191" i="8" s="1"/>
  <c r="J107" i="8"/>
  <c r="J108" i="8" s="1"/>
  <c r="J109" i="8" s="1"/>
  <c r="E15" i="2"/>
  <c r="E38" i="2"/>
  <c r="E39" i="2" s="1"/>
  <c r="H74" i="1"/>
  <c r="H156" i="8" s="1"/>
  <c r="H155" i="8" s="1"/>
  <c r="L16" i="23" s="1"/>
  <c r="I29" i="18"/>
  <c r="H149" i="8" s="1"/>
  <c r="G190" i="8"/>
  <c r="G191" i="8" s="1"/>
  <c r="G197" i="8"/>
  <c r="G198" i="8" s="1"/>
  <c r="G199" i="8" s="1"/>
  <c r="G240" i="8" s="1"/>
  <c r="G241" i="8" s="1"/>
  <c r="L13" i="8"/>
  <c r="H290" i="8"/>
  <c r="H22" i="21"/>
  <c r="F241" i="8"/>
  <c r="L5" i="8"/>
  <c r="K4" i="21"/>
  <c r="AC13" i="21"/>
  <c r="M19" i="8"/>
  <c r="L22" i="8"/>
  <c r="L14" i="8"/>
  <c r="M14" i="8" s="1"/>
  <c r="M21" i="8"/>
  <c r="L15" i="8"/>
  <c r="L27" i="8"/>
  <c r="M16" i="8" s="1"/>
  <c r="C16" i="19"/>
  <c r="C17" i="19"/>
  <c r="C18" i="19"/>
  <c r="C15" i="19"/>
  <c r="I189" i="8"/>
  <c r="I146" i="8"/>
  <c r="I147" i="8" s="1"/>
  <c r="I148" i="8" s="1"/>
  <c r="J191" i="8"/>
  <c r="H197" i="8"/>
  <c r="H198" i="8" s="1"/>
  <c r="E122" i="8"/>
  <c r="E123" i="8" s="1"/>
  <c r="F121" i="8" s="1"/>
  <c r="I194" i="8"/>
  <c r="I196" i="8" s="1"/>
  <c r="J182" i="8"/>
  <c r="J197" i="8"/>
  <c r="J198" i="8" s="1"/>
  <c r="J195" i="8"/>
  <c r="J155" i="8"/>
  <c r="I183" i="8"/>
  <c r="K195" i="8"/>
  <c r="K190" i="8"/>
  <c r="I149" i="8"/>
  <c r="B21" i="19"/>
  <c r="J194" i="8"/>
  <c r="J180" i="8"/>
  <c r="O12" i="17"/>
  <c r="M79" i="18" s="1"/>
  <c r="F15" i="2"/>
  <c r="F38" i="2"/>
  <c r="F39" i="2" s="1"/>
  <c r="K83" i="18"/>
  <c r="K84" i="18"/>
  <c r="L26" i="8"/>
  <c r="L11" i="8"/>
  <c r="K17" i="8"/>
  <c r="M10" i="8"/>
  <c r="K146" i="5"/>
  <c r="J63" i="5"/>
  <c r="K6" i="5"/>
  <c r="L9" i="8"/>
  <c r="E114" i="8"/>
  <c r="E115" i="8" s="1"/>
  <c r="F113" i="8" s="1"/>
  <c r="F114" i="8" s="1"/>
  <c r="F115" i="8" s="1"/>
  <c r="L20" i="8"/>
  <c r="H239" i="8"/>
  <c r="I327" i="8"/>
  <c r="M13" i="8"/>
  <c r="J334" i="8"/>
  <c r="J140" i="5"/>
  <c r="G350" i="8"/>
  <c r="K132" i="5"/>
  <c r="K237" i="8"/>
  <c r="K288" i="8"/>
  <c r="M75" i="8"/>
  <c r="L117" i="8"/>
  <c r="L168" i="8" s="1"/>
  <c r="W52" i="5"/>
  <c r="X49" i="5"/>
  <c r="D348" i="8"/>
  <c r="E133" i="8"/>
  <c r="K138" i="5"/>
  <c r="K332" i="8"/>
  <c r="K133" i="5"/>
  <c r="K333" i="8"/>
  <c r="J44" i="2"/>
  <c r="L12" i="5"/>
  <c r="L18" i="5"/>
  <c r="L16" i="5"/>
  <c r="L10" i="5"/>
  <c r="L11" i="5"/>
  <c r="L8" i="5"/>
  <c r="L15" i="5"/>
  <c r="L17" i="5"/>
  <c r="L14" i="5"/>
  <c r="L9" i="5"/>
  <c r="K336" i="8"/>
  <c r="K205" i="8"/>
  <c r="K20" i="2" s="1"/>
  <c r="K305" i="8"/>
  <c r="K129" i="5"/>
  <c r="K99" i="5"/>
  <c r="K329" i="8"/>
  <c r="J104" i="5"/>
  <c r="J86" i="5"/>
  <c r="K148" i="5"/>
  <c r="K139" i="5"/>
  <c r="K131" i="5"/>
  <c r="K136" i="5"/>
  <c r="M4" i="18"/>
  <c r="N2" i="18"/>
  <c r="M3" i="18"/>
  <c r="K130" i="5"/>
  <c r="K330" i="8"/>
  <c r="L27" i="5"/>
  <c r="L21" i="5"/>
  <c r="L23" i="5"/>
  <c r="L25" i="5"/>
  <c r="K31" i="7"/>
  <c r="K18" i="7"/>
  <c r="K147" i="5"/>
  <c r="P8" i="17"/>
  <c r="N75" i="18" s="1"/>
  <c r="K135" i="5"/>
  <c r="K112" i="5"/>
  <c r="P10" i="17"/>
  <c r="N77" i="18" s="1"/>
  <c r="J32" i="7"/>
  <c r="K337" i="8"/>
  <c r="K144" i="5"/>
  <c r="K335" i="8"/>
  <c r="K142" i="5"/>
  <c r="F131" i="8"/>
  <c r="U47" i="5"/>
  <c r="V44" i="5"/>
  <c r="K8" i="7"/>
  <c r="M24" i="8"/>
  <c r="K331" i="8"/>
  <c r="K137" i="5"/>
  <c r="M6" i="7"/>
  <c r="L7" i="7"/>
  <c r="J328" i="8"/>
  <c r="K62" i="8" l="1"/>
  <c r="L81" i="5"/>
  <c r="L76" i="5"/>
  <c r="J156" i="8"/>
  <c r="N16" i="23"/>
  <c r="N14" i="23" s="1"/>
  <c r="I62" i="2"/>
  <c r="I60" i="2" s="1"/>
  <c r="M69" i="5"/>
  <c r="M75" i="5"/>
  <c r="M74" i="5"/>
  <c r="M73" i="5"/>
  <c r="M71" i="5"/>
  <c r="M72" i="5"/>
  <c r="M67" i="5"/>
  <c r="M65" i="5"/>
  <c r="M68" i="5"/>
  <c r="M66" i="5"/>
  <c r="K20" i="5"/>
  <c r="K28" i="5" s="1"/>
  <c r="K149" i="5" s="1"/>
  <c r="L85" i="5"/>
  <c r="M57" i="18"/>
  <c r="L68" i="8" s="1"/>
  <c r="M41" i="18"/>
  <c r="M55" i="18"/>
  <c r="L56" i="8" s="1"/>
  <c r="M42" i="18"/>
  <c r="M40" i="18"/>
  <c r="L36" i="8" s="1"/>
  <c r="M56" i="18"/>
  <c r="L62" i="8" s="1"/>
  <c r="J39" i="8"/>
  <c r="J40" i="8" s="1"/>
  <c r="K38" i="8" s="1"/>
  <c r="J43" i="5"/>
  <c r="J56" i="5" s="1"/>
  <c r="J100" i="5"/>
  <c r="K42" i="8"/>
  <c r="J46" i="8"/>
  <c r="K44" i="8" s="1"/>
  <c r="K45" i="8" s="1"/>
  <c r="M80" i="5"/>
  <c r="M84" i="5"/>
  <c r="M78" i="5"/>
  <c r="M79" i="5" s="1"/>
  <c r="M82" i="5"/>
  <c r="M83" i="5" s="1"/>
  <c r="J28" i="5"/>
  <c r="J149" i="5" s="1"/>
  <c r="H33" i="5"/>
  <c r="K48" i="8"/>
  <c r="J52" i="8"/>
  <c r="K50" i="8" s="1"/>
  <c r="K51" i="8" s="1"/>
  <c r="K76" i="5"/>
  <c r="I32" i="5"/>
  <c r="I30" i="5"/>
  <c r="I31" i="5"/>
  <c r="L7" i="5"/>
  <c r="O13" i="23"/>
  <c r="J59" i="2"/>
  <c r="N10" i="23"/>
  <c r="I56" i="2"/>
  <c r="K19" i="5"/>
  <c r="O12" i="23"/>
  <c r="J58" i="2"/>
  <c r="L26" i="5"/>
  <c r="L147" i="5" s="1"/>
  <c r="L22" i="5"/>
  <c r="L20" i="5" s="1"/>
  <c r="J223" i="8"/>
  <c r="L13" i="5"/>
  <c r="L134" i="5" s="1"/>
  <c r="N11" i="23"/>
  <c r="I57" i="2"/>
  <c r="O11" i="23"/>
  <c r="J57" i="2"/>
  <c r="G62" i="2"/>
  <c r="G60" i="2" s="1"/>
  <c r="K63" i="2"/>
  <c r="P17" i="23"/>
  <c r="E10" i="6"/>
  <c r="E11" i="6" s="1"/>
  <c r="H82" i="8"/>
  <c r="H83" i="8" s="1"/>
  <c r="I81" i="8" s="1"/>
  <c r="M8" i="8"/>
  <c r="N19" i="8" s="1"/>
  <c r="I111" i="8"/>
  <c r="J111" i="8" s="1"/>
  <c r="K111" i="8" s="1"/>
  <c r="L111" i="8" s="1"/>
  <c r="M111" i="8" s="1"/>
  <c r="N111" i="8" s="1"/>
  <c r="O111" i="8" s="1"/>
  <c r="P111" i="8" s="1"/>
  <c r="Q111" i="8" s="1"/>
  <c r="R111" i="8" s="1"/>
  <c r="S111" i="8" s="1"/>
  <c r="T111" i="8" s="1"/>
  <c r="U111" i="8" s="1"/>
  <c r="V111" i="8" s="1"/>
  <c r="W111" i="8" s="1"/>
  <c r="X111" i="8" s="1"/>
  <c r="Y111" i="8" s="1"/>
  <c r="Z111" i="8" s="1"/>
  <c r="AA111" i="8" s="1"/>
  <c r="AB111" i="8" s="1"/>
  <c r="AC111" i="8" s="1"/>
  <c r="AD111" i="8" s="1"/>
  <c r="AE111" i="8" s="1"/>
  <c r="AF111" i="8" s="1"/>
  <c r="AG111" i="8" s="1"/>
  <c r="AH111" i="8" s="1"/>
  <c r="AI111" i="8" s="1"/>
  <c r="N82" i="18"/>
  <c r="D65" i="8"/>
  <c r="D66" i="8" s="1"/>
  <c r="D70" i="8"/>
  <c r="D71" i="8" s="1"/>
  <c r="D72" i="8" s="1"/>
  <c r="E102" i="8"/>
  <c r="H148" i="8"/>
  <c r="B159" i="8" s="1"/>
  <c r="C9" i="13" s="1"/>
  <c r="H87" i="8"/>
  <c r="H101" i="5" s="1"/>
  <c r="H125" i="8"/>
  <c r="H127" i="8" s="1"/>
  <c r="H128" i="8" s="1"/>
  <c r="H129" i="8" s="1"/>
  <c r="H350" i="8" s="1"/>
  <c r="G23" i="21"/>
  <c r="G24" i="21" s="1"/>
  <c r="G150" i="8"/>
  <c r="H199" i="8"/>
  <c r="H14" i="2" s="1"/>
  <c r="H15" i="2" s="1"/>
  <c r="K107" i="8"/>
  <c r="K108" i="8" s="1"/>
  <c r="K109" i="8" s="1"/>
  <c r="G14" i="2"/>
  <c r="G38" i="2" s="1"/>
  <c r="G39" i="2" s="1"/>
  <c r="G224" i="8"/>
  <c r="N10" i="8"/>
  <c r="J206" i="8"/>
  <c r="J18" i="2" s="1"/>
  <c r="J42" i="2" s="1"/>
  <c r="I23" i="21"/>
  <c r="M25" i="8"/>
  <c r="N25" i="8" s="1"/>
  <c r="M5" i="8"/>
  <c r="L4" i="21"/>
  <c r="I239" i="8"/>
  <c r="I22" i="21"/>
  <c r="AD13" i="21"/>
  <c r="M22" i="8"/>
  <c r="H119" i="8"/>
  <c r="K93" i="8"/>
  <c r="K94" i="8" s="1"/>
  <c r="K95" i="8" s="1"/>
  <c r="M27" i="8"/>
  <c r="N27" i="8" s="1"/>
  <c r="M26" i="8"/>
  <c r="J183" i="8"/>
  <c r="I150" i="8"/>
  <c r="C19" i="19"/>
  <c r="J196" i="8"/>
  <c r="J199" i="8" s="1"/>
  <c r="E349" i="8"/>
  <c r="I190" i="8"/>
  <c r="I191" i="8" s="1"/>
  <c r="I197" i="8"/>
  <c r="I198" i="8" s="1"/>
  <c r="I199" i="8" s="1"/>
  <c r="L195" i="8"/>
  <c r="L188" i="8"/>
  <c r="L190" i="8"/>
  <c r="K188" i="8"/>
  <c r="K191" i="8" s="1"/>
  <c r="P12" i="17"/>
  <c r="N79" i="18" s="1"/>
  <c r="K182" i="8"/>
  <c r="K197" i="8"/>
  <c r="K198" i="8" s="1"/>
  <c r="K154" i="8"/>
  <c r="K180" i="8"/>
  <c r="K194" i="8"/>
  <c r="K196" i="8" s="1"/>
  <c r="K155" i="8"/>
  <c r="M11" i="8"/>
  <c r="L83" i="18"/>
  <c r="L84" i="18"/>
  <c r="M15" i="8"/>
  <c r="L17" i="8"/>
  <c r="J327" i="8"/>
  <c r="M9" i="8"/>
  <c r="N21" i="8"/>
  <c r="M20" i="8"/>
  <c r="L6" i="5"/>
  <c r="K63" i="5"/>
  <c r="K86" i="5"/>
  <c r="G113" i="8"/>
  <c r="G114" i="8" s="1"/>
  <c r="G115" i="8" s="1"/>
  <c r="I290" i="8"/>
  <c r="K334" i="8"/>
  <c r="L131" i="5"/>
  <c r="Y49" i="5"/>
  <c r="X52" i="5"/>
  <c r="N75" i="8"/>
  <c r="M117" i="8"/>
  <c r="M168" i="8" s="1"/>
  <c r="L288" i="8"/>
  <c r="L237" i="8"/>
  <c r="L146" i="5"/>
  <c r="K140" i="5"/>
  <c r="L139" i="5"/>
  <c r="Q8" i="17"/>
  <c r="O75" i="18" s="1"/>
  <c r="L336" i="8"/>
  <c r="N67" i="18"/>
  <c r="O2" i="18"/>
  <c r="N3" i="18"/>
  <c r="N4" i="18"/>
  <c r="K44" i="2"/>
  <c r="L112" i="5"/>
  <c r="L135" i="5"/>
  <c r="E134" i="8"/>
  <c r="E135" i="8" s="1"/>
  <c r="E351" i="8" s="1"/>
  <c r="E34" i="2"/>
  <c r="E340" i="8"/>
  <c r="E10" i="2" s="1"/>
  <c r="M7" i="7"/>
  <c r="N6" i="7"/>
  <c r="N24" i="8"/>
  <c r="K32" i="7"/>
  <c r="Q10" i="17"/>
  <c r="O77" i="18" s="1"/>
  <c r="L144" i="5"/>
  <c r="L337" i="8"/>
  <c r="L133" i="5"/>
  <c r="L333" i="8"/>
  <c r="L130" i="5"/>
  <c r="L330" i="8"/>
  <c r="N13" i="8"/>
  <c r="L148" i="5"/>
  <c r="L132" i="5"/>
  <c r="L136" i="5"/>
  <c r="K104" i="5"/>
  <c r="L329" i="8"/>
  <c r="L99" i="5"/>
  <c r="L129" i="5"/>
  <c r="G131" i="8"/>
  <c r="M11" i="5"/>
  <c r="M14" i="5"/>
  <c r="M8" i="5"/>
  <c r="M9" i="5"/>
  <c r="M16" i="5"/>
  <c r="M17" i="5"/>
  <c r="M15" i="5"/>
  <c r="M10" i="5"/>
  <c r="M12" i="5"/>
  <c r="M18" i="5"/>
  <c r="L11" i="7"/>
  <c r="L8" i="7"/>
  <c r="L138" i="5"/>
  <c r="L332" i="8"/>
  <c r="L31" i="7"/>
  <c r="L18" i="7"/>
  <c r="V47" i="5"/>
  <c r="W44" i="5"/>
  <c r="M27" i="5"/>
  <c r="M21" i="5"/>
  <c r="M23" i="5"/>
  <c r="M25" i="5"/>
  <c r="F122" i="8"/>
  <c r="F123" i="8" s="1"/>
  <c r="L142" i="5"/>
  <c r="L335" i="8"/>
  <c r="L305" i="8"/>
  <c r="L205" i="8"/>
  <c r="L20" i="2" s="1"/>
  <c r="I119" i="8"/>
  <c r="L331" i="8"/>
  <c r="L137" i="5"/>
  <c r="K328" i="8"/>
  <c r="M77" i="5" l="1"/>
  <c r="J29" i="5"/>
  <c r="J150" i="5" s="1"/>
  <c r="I33" i="5"/>
  <c r="K141" i="5"/>
  <c r="M70" i="5"/>
  <c r="K29" i="5"/>
  <c r="L42" i="8"/>
  <c r="K46" i="8"/>
  <c r="L44" i="8" s="1"/>
  <c r="L45" i="8" s="1"/>
  <c r="M64" i="5"/>
  <c r="M76" i="5" s="1"/>
  <c r="N82" i="5"/>
  <c r="N83" i="5" s="1"/>
  <c r="N78" i="5"/>
  <c r="N79" i="5" s="1"/>
  <c r="N80" i="5"/>
  <c r="N84" i="5"/>
  <c r="N69" i="5"/>
  <c r="N74" i="5"/>
  <c r="N72" i="5"/>
  <c r="N75" i="5"/>
  <c r="N73" i="5"/>
  <c r="N71" i="5"/>
  <c r="N67" i="5"/>
  <c r="N68" i="5"/>
  <c r="N66" i="5"/>
  <c r="N65" i="5"/>
  <c r="N55" i="18"/>
  <c r="M56" i="8" s="1"/>
  <c r="N56" i="18"/>
  <c r="M62" i="8" s="1"/>
  <c r="N42" i="18"/>
  <c r="N40" i="18"/>
  <c r="M36" i="8" s="1"/>
  <c r="N57" i="18"/>
  <c r="M68" i="8" s="1"/>
  <c r="N41" i="18"/>
  <c r="N8" i="8"/>
  <c r="O19" i="8" s="1"/>
  <c r="H23" i="21"/>
  <c r="H24" i="21" s="1"/>
  <c r="B160" i="8"/>
  <c r="I55" i="2"/>
  <c r="K156" i="8"/>
  <c r="O16" i="23"/>
  <c r="J62" i="2"/>
  <c r="L48" i="8"/>
  <c r="K52" i="8"/>
  <c r="L50" i="8" s="1"/>
  <c r="L51" i="8" s="1"/>
  <c r="K39" i="8"/>
  <c r="K40" i="8" s="1"/>
  <c r="L38" i="8" s="1"/>
  <c r="K43" i="5"/>
  <c r="K56" i="5" s="1"/>
  <c r="K100" i="5"/>
  <c r="O82" i="18"/>
  <c r="K206" i="8"/>
  <c r="K18" i="2" s="1"/>
  <c r="K42" i="2" s="1"/>
  <c r="O15" i="23"/>
  <c r="J61" i="2"/>
  <c r="G15" i="2"/>
  <c r="D113" i="5"/>
  <c r="M81" i="5"/>
  <c r="M85" i="5" s="1"/>
  <c r="J32" i="5"/>
  <c r="J30" i="5"/>
  <c r="J31" i="5"/>
  <c r="L141" i="5"/>
  <c r="M7" i="5"/>
  <c r="K223" i="8"/>
  <c r="K150" i="5"/>
  <c r="M26" i="5"/>
  <c r="M24" i="5" s="1"/>
  <c r="M22" i="5"/>
  <c r="M20" i="5" s="1"/>
  <c r="M13" i="5"/>
  <c r="M134" i="5" s="1"/>
  <c r="L143" i="5"/>
  <c r="P13" i="23"/>
  <c r="K59" i="2"/>
  <c r="L24" i="5"/>
  <c r="L145" i="5" s="1"/>
  <c r="O10" i="23"/>
  <c r="O9" i="23" s="1"/>
  <c r="J56" i="2"/>
  <c r="J55" i="2" s="1"/>
  <c r="N9" i="23"/>
  <c r="L19" i="5"/>
  <c r="L128" i="5"/>
  <c r="L14" i="23"/>
  <c r="L63" i="2"/>
  <c r="Q17" i="23"/>
  <c r="H38" i="2"/>
  <c r="H39" i="2" s="1"/>
  <c r="I82" i="8"/>
  <c r="I83" i="8" s="1"/>
  <c r="J81" i="8" s="1"/>
  <c r="J82" i="8" s="1"/>
  <c r="J83" i="8" s="1"/>
  <c r="K81" i="8" s="1"/>
  <c r="D48" i="5"/>
  <c r="D114" i="5"/>
  <c r="E58" i="8"/>
  <c r="E103" i="8"/>
  <c r="H150" i="8"/>
  <c r="H88" i="8"/>
  <c r="H89" i="8" s="1"/>
  <c r="I87" i="8" s="1"/>
  <c r="I88" i="8" s="1"/>
  <c r="I89" i="8" s="1"/>
  <c r="I125" i="8"/>
  <c r="I127" i="8" s="1"/>
  <c r="I128" i="8" s="1"/>
  <c r="I129" i="8" s="1"/>
  <c r="I350" i="8" s="1"/>
  <c r="H240" i="8"/>
  <c r="H241" i="8" s="1"/>
  <c r="L107" i="8"/>
  <c r="L108" i="8" s="1"/>
  <c r="L109" i="8" s="1"/>
  <c r="H224" i="8"/>
  <c r="O21" i="8"/>
  <c r="I24" i="21"/>
  <c r="N14" i="8"/>
  <c r="O14" i="8" s="1"/>
  <c r="N5" i="8"/>
  <c r="M4" i="21"/>
  <c r="J290" i="8"/>
  <c r="J22" i="21"/>
  <c r="J24" i="21" s="1"/>
  <c r="AE13" i="21"/>
  <c r="N22" i="8"/>
  <c r="N26" i="8"/>
  <c r="N16" i="8"/>
  <c r="O16" i="8" s="1"/>
  <c r="K199" i="8"/>
  <c r="K14" i="2" s="1"/>
  <c r="L93" i="8"/>
  <c r="L94" i="8" s="1"/>
  <c r="L95" i="8" s="1"/>
  <c r="N11" i="8"/>
  <c r="N15" i="8"/>
  <c r="K183" i="8"/>
  <c r="M190" i="8"/>
  <c r="J224" i="8"/>
  <c r="J240" i="8"/>
  <c r="J14" i="2"/>
  <c r="L182" i="8"/>
  <c r="L197" i="8"/>
  <c r="L198" i="8" s="1"/>
  <c r="L154" i="8"/>
  <c r="L155" i="8"/>
  <c r="I224" i="8"/>
  <c r="I14" i="2"/>
  <c r="I240" i="8"/>
  <c r="Q12" i="17"/>
  <c r="O79" i="18" s="1"/>
  <c r="L191" i="8"/>
  <c r="L180" i="8"/>
  <c r="L194" i="8"/>
  <c r="L196" i="8" s="1"/>
  <c r="M17" i="8"/>
  <c r="M83" i="18"/>
  <c r="M84" i="18"/>
  <c r="O10" i="8"/>
  <c r="N20" i="8"/>
  <c r="N9" i="8"/>
  <c r="L63" i="5"/>
  <c r="M6" i="5"/>
  <c r="L334" i="8"/>
  <c r="J239" i="8"/>
  <c r="H113" i="8"/>
  <c r="H114" i="8" s="1"/>
  <c r="H115" i="8" s="1"/>
  <c r="K327" i="8"/>
  <c r="L86" i="5"/>
  <c r="M148" i="5"/>
  <c r="O75" i="8"/>
  <c r="N117" i="8"/>
  <c r="N168" i="8" s="1"/>
  <c r="M237" i="8"/>
  <c r="M288" i="8"/>
  <c r="Z49" i="5"/>
  <c r="Y52" i="5"/>
  <c r="M132" i="5"/>
  <c r="L328" i="8"/>
  <c r="O13" i="8"/>
  <c r="M335" i="8"/>
  <c r="M142" i="5"/>
  <c r="L117" i="5"/>
  <c r="H131" i="8"/>
  <c r="O3" i="18"/>
  <c r="O67" i="18"/>
  <c r="P2" i="18"/>
  <c r="P82" i="18" s="1"/>
  <c r="O4" i="18"/>
  <c r="N12" i="5"/>
  <c r="N9" i="5"/>
  <c r="N15" i="5"/>
  <c r="N10" i="5"/>
  <c r="N14" i="5"/>
  <c r="N11" i="5"/>
  <c r="N18" i="5"/>
  <c r="N16" i="5"/>
  <c r="N17" i="5"/>
  <c r="N8" i="5"/>
  <c r="M336" i="8"/>
  <c r="W47" i="5"/>
  <c r="X44" i="5"/>
  <c r="M330" i="8"/>
  <c r="M130" i="5"/>
  <c r="N25" i="5"/>
  <c r="N27" i="5"/>
  <c r="N21" i="5"/>
  <c r="N23" i="5"/>
  <c r="M8" i="7"/>
  <c r="M11" i="7"/>
  <c r="J119" i="8"/>
  <c r="L44" i="2"/>
  <c r="L32" i="7"/>
  <c r="L104" i="5"/>
  <c r="M137" i="5"/>
  <c r="M331" i="8"/>
  <c r="M135" i="5"/>
  <c r="M112" i="5"/>
  <c r="M129" i="5"/>
  <c r="M329" i="8"/>
  <c r="M99" i="5"/>
  <c r="R10" i="17"/>
  <c r="P77" i="18" s="1"/>
  <c r="O24" i="8"/>
  <c r="M31" i="7"/>
  <c r="M18" i="7"/>
  <c r="G121" i="8"/>
  <c r="F349" i="8"/>
  <c r="M337" i="8"/>
  <c r="M144" i="5"/>
  <c r="L35" i="7"/>
  <c r="M138" i="5"/>
  <c r="M332" i="8"/>
  <c r="M333" i="8"/>
  <c r="M133" i="5"/>
  <c r="N7" i="7"/>
  <c r="O6" i="7"/>
  <c r="E348" i="8"/>
  <c r="F133" i="8"/>
  <c r="M305" i="8"/>
  <c r="M205" i="8"/>
  <c r="M20" i="2" s="1"/>
  <c r="R8" i="17"/>
  <c r="P75" i="18" s="1"/>
  <c r="M139" i="5"/>
  <c r="M146" i="5"/>
  <c r="M136" i="5"/>
  <c r="M131" i="5"/>
  <c r="L140" i="5"/>
  <c r="O8" i="8" l="1"/>
  <c r="J60" i="2"/>
  <c r="C31" i="21"/>
  <c r="L28" i="5"/>
  <c r="L149" i="5" s="1"/>
  <c r="N148" i="5"/>
  <c r="M145" i="5"/>
  <c r="Q12" i="23" s="1"/>
  <c r="N81" i="5"/>
  <c r="O69" i="5"/>
  <c r="O74" i="5"/>
  <c r="O75" i="5"/>
  <c r="O72" i="5"/>
  <c r="O73" i="5"/>
  <c r="O71" i="5"/>
  <c r="O68" i="5"/>
  <c r="O66" i="5"/>
  <c r="O67" i="5"/>
  <c r="O65" i="5"/>
  <c r="O55" i="18"/>
  <c r="N56" i="8" s="1"/>
  <c r="O56" i="18"/>
  <c r="N62" i="8" s="1"/>
  <c r="O42" i="18"/>
  <c r="O40" i="18"/>
  <c r="N36" i="8" s="1"/>
  <c r="O57" i="18"/>
  <c r="N68" i="8" s="1"/>
  <c r="O41" i="18"/>
  <c r="D59" i="5"/>
  <c r="D35" i="5" s="1"/>
  <c r="M48" i="8"/>
  <c r="L52" i="8"/>
  <c r="M50" i="8" s="1"/>
  <c r="M51" i="8" s="1"/>
  <c r="P15" i="23"/>
  <c r="K61" i="2"/>
  <c r="K32" i="5"/>
  <c r="K30" i="5"/>
  <c r="K31" i="5"/>
  <c r="L29" i="5"/>
  <c r="L150" i="5" s="1"/>
  <c r="L22" i="21" s="1"/>
  <c r="L24" i="21" s="1"/>
  <c r="O11" i="8"/>
  <c r="L39" i="8"/>
  <c r="L40" i="8" s="1"/>
  <c r="M38" i="8" s="1"/>
  <c r="L100" i="5"/>
  <c r="L43" i="5"/>
  <c r="L56" i="5" s="1"/>
  <c r="L156" i="8"/>
  <c r="P16" i="23"/>
  <c r="K62" i="2"/>
  <c r="O14" i="23"/>
  <c r="O78" i="5"/>
  <c r="O79" i="5" s="1"/>
  <c r="O82" i="5"/>
  <c r="O83" i="5" s="1"/>
  <c r="O80" i="5"/>
  <c r="O84" i="5"/>
  <c r="J33" i="5"/>
  <c r="N64" i="5"/>
  <c r="N70" i="5"/>
  <c r="N77" i="5"/>
  <c r="N85" i="5" s="1"/>
  <c r="M42" i="8"/>
  <c r="L46" i="8"/>
  <c r="M44" i="8" s="1"/>
  <c r="M45" i="8" s="1"/>
  <c r="M28" i="5"/>
  <c r="M149" i="5" s="1"/>
  <c r="M141" i="5"/>
  <c r="L58" i="2"/>
  <c r="N22" i="5"/>
  <c r="N20" i="5" s="1"/>
  <c r="N26" i="5"/>
  <c r="N24" i="5" s="1"/>
  <c r="N145" i="5" s="1"/>
  <c r="N13" i="5"/>
  <c r="P11" i="23"/>
  <c r="K57" i="2"/>
  <c r="M19" i="5"/>
  <c r="M128" i="5"/>
  <c r="M147" i="5"/>
  <c r="M143" i="5"/>
  <c r="N7" i="5"/>
  <c r="L223" i="8"/>
  <c r="K58" i="2"/>
  <c r="P12" i="23"/>
  <c r="Q13" i="23"/>
  <c r="L59" i="2"/>
  <c r="P10" i="23"/>
  <c r="K56" i="2"/>
  <c r="M63" i="2"/>
  <c r="R17" i="23"/>
  <c r="F10" i="6"/>
  <c r="F11" i="6" s="1"/>
  <c r="P8" i="8"/>
  <c r="I101" i="5"/>
  <c r="E59" i="8"/>
  <c r="E60" i="8" s="1"/>
  <c r="E64" i="8"/>
  <c r="F101" i="8"/>
  <c r="P10" i="8"/>
  <c r="P19" i="8"/>
  <c r="K224" i="8"/>
  <c r="J87" i="8"/>
  <c r="J88" i="8" s="1"/>
  <c r="J89" i="8" s="1"/>
  <c r="J125" i="8"/>
  <c r="J127" i="8" s="1"/>
  <c r="J128" i="8" s="1"/>
  <c r="J129" i="8" s="1"/>
  <c r="M107" i="8"/>
  <c r="M108" i="8" s="1"/>
  <c r="M109" i="8" s="1"/>
  <c r="O25" i="8"/>
  <c r="P14" i="8" s="1"/>
  <c r="L206" i="8"/>
  <c r="L18" i="2" s="1"/>
  <c r="L42" i="2" s="1"/>
  <c r="O5" i="8"/>
  <c r="N4" i="21"/>
  <c r="I241" i="8"/>
  <c r="K290" i="8"/>
  <c r="K22" i="21"/>
  <c r="K24" i="21" s="1"/>
  <c r="AF13" i="21"/>
  <c r="O26" i="8"/>
  <c r="O15" i="8"/>
  <c r="O27" i="8"/>
  <c r="P27" i="8" s="1"/>
  <c r="O22" i="8"/>
  <c r="P22" i="8" s="1"/>
  <c r="J241" i="8"/>
  <c r="K240" i="8"/>
  <c r="L199" i="8"/>
  <c r="L14" i="2" s="1"/>
  <c r="M93" i="8"/>
  <c r="M94" i="8" s="1"/>
  <c r="M95" i="8" s="1"/>
  <c r="N17" i="8"/>
  <c r="K239" i="8"/>
  <c r="R12" i="17"/>
  <c r="P79" i="18" s="1"/>
  <c r="I15" i="2"/>
  <c r="I38" i="2"/>
  <c r="I39" i="2" s="1"/>
  <c r="L183" i="8"/>
  <c r="M155" i="8"/>
  <c r="M195" i="8"/>
  <c r="M188" i="8"/>
  <c r="M191" i="8" s="1"/>
  <c r="M182" i="8"/>
  <c r="M197" i="8"/>
  <c r="M198" i="8" s="1"/>
  <c r="N190" i="8"/>
  <c r="K15" i="2"/>
  <c r="K38" i="2"/>
  <c r="K39" i="2" s="1"/>
  <c r="J15" i="2"/>
  <c r="J38" i="2"/>
  <c r="J39" i="2" s="1"/>
  <c r="M154" i="8"/>
  <c r="M194" i="8"/>
  <c r="M180" i="8"/>
  <c r="N83" i="18"/>
  <c r="N84" i="18"/>
  <c r="P21" i="8"/>
  <c r="K82" i="8"/>
  <c r="K83" i="8" s="1"/>
  <c r="L81" i="8" s="1"/>
  <c r="O9" i="8"/>
  <c r="O20" i="8"/>
  <c r="M63" i="5"/>
  <c r="N6" i="5"/>
  <c r="P13" i="8"/>
  <c r="L327" i="8"/>
  <c r="I113" i="8"/>
  <c r="I114" i="8" s="1"/>
  <c r="I115" i="8" s="1"/>
  <c r="M86" i="5"/>
  <c r="O117" i="8"/>
  <c r="O168" i="8" s="1"/>
  <c r="P75" i="8"/>
  <c r="AA49" i="5"/>
  <c r="Z52" i="5"/>
  <c r="N288" i="8"/>
  <c r="N237" i="8"/>
  <c r="N146" i="5"/>
  <c r="N132" i="5"/>
  <c r="N131" i="5"/>
  <c r="S8" i="17"/>
  <c r="Q75" i="18" s="1"/>
  <c r="F134" i="8"/>
  <c r="F135" i="8" s="1"/>
  <c r="F351" i="8" s="1"/>
  <c r="F34" i="2"/>
  <c r="F340" i="8"/>
  <c r="F10" i="2" s="1"/>
  <c r="G122" i="8"/>
  <c r="G123" i="8" s="1"/>
  <c r="O23" i="5"/>
  <c r="O27" i="5"/>
  <c r="O25" i="5"/>
  <c r="O21" i="5"/>
  <c r="K119" i="8"/>
  <c r="N336" i="8"/>
  <c r="N331" i="8"/>
  <c r="N137" i="5"/>
  <c r="N135" i="5"/>
  <c r="N112" i="5"/>
  <c r="N205" i="8"/>
  <c r="N20" i="2" s="1"/>
  <c r="N305" i="8"/>
  <c r="N18" i="7"/>
  <c r="N31" i="7"/>
  <c r="S10" i="17"/>
  <c r="Q77" i="18" s="1"/>
  <c r="M35" i="7"/>
  <c r="M32" i="7"/>
  <c r="N335" i="8"/>
  <c r="N142" i="5"/>
  <c r="X47" i="5"/>
  <c r="Y44" i="5"/>
  <c r="N133" i="5"/>
  <c r="N333" i="8"/>
  <c r="P4" i="18"/>
  <c r="P3" i="18"/>
  <c r="P67" i="18"/>
  <c r="Q2" i="18"/>
  <c r="Q82" i="18" s="1"/>
  <c r="I131" i="8"/>
  <c r="M44" i="2"/>
  <c r="O7" i="7"/>
  <c r="P6" i="7"/>
  <c r="P24" i="8"/>
  <c r="M104" i="5"/>
  <c r="N99" i="5"/>
  <c r="N129" i="5"/>
  <c r="N329" i="8"/>
  <c r="N138" i="5"/>
  <c r="N332" i="8"/>
  <c r="O18" i="5"/>
  <c r="O8" i="5"/>
  <c r="O12" i="5"/>
  <c r="O15" i="5"/>
  <c r="O17" i="5"/>
  <c r="O11" i="5"/>
  <c r="O9" i="5"/>
  <c r="O14" i="5"/>
  <c r="O10" i="5"/>
  <c r="O16" i="5"/>
  <c r="M117" i="5"/>
  <c r="N144" i="5"/>
  <c r="N337" i="8"/>
  <c r="N330" i="8"/>
  <c r="N130" i="5"/>
  <c r="N11" i="7"/>
  <c r="N8" i="7"/>
  <c r="M328" i="8"/>
  <c r="N139" i="5"/>
  <c r="N136" i="5"/>
  <c r="M334" i="8"/>
  <c r="M140" i="5"/>
  <c r="N76" i="5" l="1"/>
  <c r="O17" i="8"/>
  <c r="Q8" i="8"/>
  <c r="N134" i="5"/>
  <c r="O77" i="5"/>
  <c r="K55" i="2"/>
  <c r="O64" i="5"/>
  <c r="O70" i="5"/>
  <c r="D34" i="5"/>
  <c r="D36" i="5"/>
  <c r="P78" i="5"/>
  <c r="P79" i="5" s="1"/>
  <c r="P84" i="5"/>
  <c r="P82" i="5"/>
  <c r="P83" i="5" s="1"/>
  <c r="P80" i="5"/>
  <c r="L30" i="5"/>
  <c r="L32" i="5"/>
  <c r="L31" i="5"/>
  <c r="P55" i="18"/>
  <c r="O56" i="8" s="1"/>
  <c r="P56" i="18"/>
  <c r="O62" i="8" s="1"/>
  <c r="P41" i="18"/>
  <c r="P42" i="18"/>
  <c r="P40" i="18"/>
  <c r="P57" i="18"/>
  <c r="O68" i="8" s="1"/>
  <c r="K60" i="2"/>
  <c r="N143" i="5"/>
  <c r="Q21" i="8"/>
  <c r="M29" i="5"/>
  <c r="M150" i="5" s="1"/>
  <c r="M22" i="21" s="1"/>
  <c r="M24" i="21" s="1"/>
  <c r="M39" i="8"/>
  <c r="M40" i="8" s="1"/>
  <c r="N38" i="8" s="1"/>
  <c r="M43" i="5"/>
  <c r="M56" i="5" s="1"/>
  <c r="M30" i="5" s="1"/>
  <c r="M100" i="5"/>
  <c r="P14" i="23"/>
  <c r="N48" i="8"/>
  <c r="M52" i="8"/>
  <c r="N50" i="8" s="1"/>
  <c r="N51" i="8" s="1"/>
  <c r="P69" i="5"/>
  <c r="P73" i="5"/>
  <c r="P71" i="5"/>
  <c r="P74" i="5"/>
  <c r="P72" i="5"/>
  <c r="P75" i="5"/>
  <c r="P67" i="5"/>
  <c r="P65" i="5"/>
  <c r="P66" i="5"/>
  <c r="P68" i="5"/>
  <c r="M156" i="8"/>
  <c r="Q16" i="23"/>
  <c r="L62" i="2"/>
  <c r="N147" i="5"/>
  <c r="M206" i="8"/>
  <c r="M18" i="2" s="1"/>
  <c r="M42" i="2" s="1"/>
  <c r="Q15" i="23"/>
  <c r="L61" i="2"/>
  <c r="N42" i="8"/>
  <c r="M46" i="8"/>
  <c r="N44" i="8" s="1"/>
  <c r="N45" i="8" s="1"/>
  <c r="O81" i="5"/>
  <c r="O85" i="5" s="1"/>
  <c r="O36" i="8"/>
  <c r="K33" i="5"/>
  <c r="O13" i="5"/>
  <c r="O134" i="5" s="1"/>
  <c r="O7" i="5"/>
  <c r="O26" i="5"/>
  <c r="O24" i="5" s="1"/>
  <c r="M223" i="8"/>
  <c r="R13" i="23"/>
  <c r="M59" i="2"/>
  <c r="M58" i="2"/>
  <c r="R12" i="23"/>
  <c r="N28" i="5"/>
  <c r="N149" i="5" s="1"/>
  <c r="N141" i="5"/>
  <c r="Q10" i="23"/>
  <c r="L56" i="2"/>
  <c r="O22" i="5"/>
  <c r="O20" i="5" s="1"/>
  <c r="P9" i="23"/>
  <c r="N19" i="5"/>
  <c r="N128" i="5"/>
  <c r="Q11" i="23"/>
  <c r="L57" i="2"/>
  <c r="N63" i="2"/>
  <c r="S17" i="23"/>
  <c r="J101" i="5"/>
  <c r="Q19" i="8"/>
  <c r="R8" i="8" s="1"/>
  <c r="E65" i="8"/>
  <c r="E66" i="8" s="1"/>
  <c r="F102" i="8"/>
  <c r="E70" i="8"/>
  <c r="J350" i="8"/>
  <c r="K125" i="8"/>
  <c r="K127" i="8" s="1"/>
  <c r="K128" i="8" s="1"/>
  <c r="K129" i="8" s="1"/>
  <c r="K87" i="8"/>
  <c r="K101" i="5" s="1"/>
  <c r="L224" i="8"/>
  <c r="N107" i="8"/>
  <c r="N108" i="8" s="1"/>
  <c r="N109" i="8" s="1"/>
  <c r="P25" i="8"/>
  <c r="Q14" i="8" s="1"/>
  <c r="P5" i="8"/>
  <c r="O4" i="21"/>
  <c r="AG13" i="21"/>
  <c r="P15" i="8"/>
  <c r="P26" i="8"/>
  <c r="P16" i="8"/>
  <c r="Q16" i="8" s="1"/>
  <c r="P11" i="8"/>
  <c r="Q22" i="8" s="1"/>
  <c r="M196" i="8"/>
  <c r="M199" i="8" s="1"/>
  <c r="L240" i="8"/>
  <c r="K241" i="8"/>
  <c r="N93" i="8"/>
  <c r="N94" i="8" s="1"/>
  <c r="N95" i="8" s="1"/>
  <c r="N194" i="8"/>
  <c r="N180" i="8"/>
  <c r="N195" i="8"/>
  <c r="N188" i="8"/>
  <c r="N191" i="8" s="1"/>
  <c r="N197" i="8"/>
  <c r="N198" i="8" s="1"/>
  <c r="N182" i="8"/>
  <c r="N183" i="8" s="1"/>
  <c r="L15" i="2"/>
  <c r="L38" i="2"/>
  <c r="L39" i="2" s="1"/>
  <c r="M183" i="8"/>
  <c r="O190" i="8"/>
  <c r="O155" i="8"/>
  <c r="O195" i="8"/>
  <c r="O188" i="8"/>
  <c r="N154" i="8"/>
  <c r="N155" i="8"/>
  <c r="S12" i="17"/>
  <c r="Q79" i="18" s="1"/>
  <c r="O83" i="18"/>
  <c r="O84" i="18"/>
  <c r="Q10" i="8"/>
  <c r="Q13" i="8"/>
  <c r="L82" i="8"/>
  <c r="L83" i="8" s="1"/>
  <c r="M81" i="8" s="1"/>
  <c r="P9" i="8"/>
  <c r="P20" i="8"/>
  <c r="N63" i="5"/>
  <c r="O6" i="5"/>
  <c r="R19" i="8"/>
  <c r="Q27" i="8"/>
  <c r="J113" i="8"/>
  <c r="J114" i="8" s="1"/>
  <c r="J115" i="8" s="1"/>
  <c r="O132" i="5"/>
  <c r="O139" i="5"/>
  <c r="O288" i="8"/>
  <c r="O237" i="8"/>
  <c r="P117" i="8"/>
  <c r="P168" i="8" s="1"/>
  <c r="Q75" i="8"/>
  <c r="O136" i="5"/>
  <c r="O148" i="5"/>
  <c r="AA52" i="5"/>
  <c r="AB49" i="5"/>
  <c r="N140" i="5"/>
  <c r="N35" i="7"/>
  <c r="O332" i="8"/>
  <c r="O138" i="5"/>
  <c r="O205" i="8"/>
  <c r="O20" i="2" s="1"/>
  <c r="O305" i="8"/>
  <c r="P16" i="5"/>
  <c r="P15" i="5"/>
  <c r="P136" i="5" s="1"/>
  <c r="P18" i="5"/>
  <c r="P10" i="5"/>
  <c r="P11" i="5"/>
  <c r="P12" i="5"/>
  <c r="P17" i="5"/>
  <c r="P9" i="5"/>
  <c r="P8" i="5"/>
  <c r="P14" i="5"/>
  <c r="N334" i="8"/>
  <c r="O146" i="5"/>
  <c r="O331" i="8"/>
  <c r="O137" i="5"/>
  <c r="Q24" i="8"/>
  <c r="O18" i="7"/>
  <c r="O31" i="7"/>
  <c r="Q4" i="18"/>
  <c r="R2" i="18"/>
  <c r="R82" i="18" s="1"/>
  <c r="Q67" i="18"/>
  <c r="Q3" i="18"/>
  <c r="N44" i="2"/>
  <c r="O142" i="5"/>
  <c r="O335" i="8"/>
  <c r="T8" i="17"/>
  <c r="R75" i="18" s="1"/>
  <c r="N32" i="7"/>
  <c r="L239" i="8"/>
  <c r="L290" i="8"/>
  <c r="N104" i="5"/>
  <c r="O329" i="8"/>
  <c r="O129" i="5"/>
  <c r="O99" i="5"/>
  <c r="Q6" i="7"/>
  <c r="P7" i="7"/>
  <c r="P27" i="5"/>
  <c r="P21" i="5"/>
  <c r="P25" i="5"/>
  <c r="P23" i="5"/>
  <c r="L119" i="8"/>
  <c r="O336" i="8"/>
  <c r="O144" i="5"/>
  <c r="O337" i="8"/>
  <c r="F348" i="8"/>
  <c r="G133" i="8"/>
  <c r="N117" i="5"/>
  <c r="O330" i="8"/>
  <c r="O130" i="5"/>
  <c r="O333" i="8"/>
  <c r="O133" i="5"/>
  <c r="O112" i="5"/>
  <c r="O135" i="5"/>
  <c r="J131" i="8"/>
  <c r="O11" i="7"/>
  <c r="O8" i="7"/>
  <c r="Z44" i="5"/>
  <c r="Y47" i="5"/>
  <c r="T10" i="17"/>
  <c r="R77" i="18" s="1"/>
  <c r="H121" i="8"/>
  <c r="G349" i="8"/>
  <c r="O131" i="5"/>
  <c r="M327" i="8"/>
  <c r="N328" i="8"/>
  <c r="N86" i="5"/>
  <c r="O76" i="5" l="1"/>
  <c r="L60" i="2"/>
  <c r="P77" i="5"/>
  <c r="P148" i="5"/>
  <c r="O145" i="5"/>
  <c r="D37" i="5"/>
  <c r="D38" i="5" s="1"/>
  <c r="D39" i="5" s="1"/>
  <c r="N206" i="8"/>
  <c r="N18" i="2" s="1"/>
  <c r="N42" i="2" s="1"/>
  <c r="R15" i="23"/>
  <c r="M61" i="2"/>
  <c r="O147" i="5"/>
  <c r="M32" i="5"/>
  <c r="M31" i="5"/>
  <c r="L33" i="5"/>
  <c r="Q69" i="5"/>
  <c r="Q71" i="5"/>
  <c r="Q75" i="5"/>
  <c r="Q74" i="5"/>
  <c r="Q73" i="5"/>
  <c r="Q72" i="5"/>
  <c r="Q67" i="5"/>
  <c r="Q65" i="5"/>
  <c r="Q68" i="5"/>
  <c r="Q66" i="5"/>
  <c r="N29" i="5"/>
  <c r="N150" i="5" s="1"/>
  <c r="R10" i="8"/>
  <c r="O42" i="8"/>
  <c r="N46" i="8"/>
  <c r="O44" i="8" s="1"/>
  <c r="O45" i="8" s="1"/>
  <c r="P64" i="5"/>
  <c r="P128" i="5" s="1"/>
  <c r="P7" i="5"/>
  <c r="Q57" i="18"/>
  <c r="P68" i="8" s="1"/>
  <c r="Q41" i="18"/>
  <c r="Q55" i="18"/>
  <c r="P56" i="8" s="1"/>
  <c r="Q56" i="18"/>
  <c r="P62" i="8" s="1"/>
  <c r="Q42" i="18"/>
  <c r="Q40" i="18"/>
  <c r="P36" i="8" s="1"/>
  <c r="Q14" i="23"/>
  <c r="P70" i="5"/>
  <c r="O48" i="8"/>
  <c r="N52" i="8"/>
  <c r="O50" i="8" s="1"/>
  <c r="O51" i="8" s="1"/>
  <c r="N39" i="8"/>
  <c r="N40" i="8" s="1"/>
  <c r="O38" i="8" s="1"/>
  <c r="N43" i="5"/>
  <c r="N56" i="5" s="1"/>
  <c r="N100" i="5"/>
  <c r="Q80" i="5"/>
  <c r="Q84" i="5"/>
  <c r="Q78" i="5"/>
  <c r="Q79" i="5" s="1"/>
  <c r="Q82" i="5"/>
  <c r="Q83" i="5" s="1"/>
  <c r="Q81" i="5" s="1"/>
  <c r="Q25" i="8"/>
  <c r="N156" i="8"/>
  <c r="R16" i="23"/>
  <c r="M62" i="2"/>
  <c r="S16" i="23"/>
  <c r="N62" i="2"/>
  <c r="P81" i="5"/>
  <c r="P85" i="5" s="1"/>
  <c r="O28" i="5"/>
  <c r="O149" i="5" s="1"/>
  <c r="O141" i="5"/>
  <c r="P26" i="5"/>
  <c r="P24" i="5" s="1"/>
  <c r="P145" i="5" s="1"/>
  <c r="P22" i="5"/>
  <c r="P20" i="5" s="1"/>
  <c r="R11" i="23"/>
  <c r="M57" i="2"/>
  <c r="L55" i="2"/>
  <c r="R10" i="23"/>
  <c r="M56" i="2"/>
  <c r="S12" i="23"/>
  <c r="N58" i="2"/>
  <c r="S13" i="23"/>
  <c r="N59" i="2"/>
  <c r="N223" i="8"/>
  <c r="O143" i="5"/>
  <c r="P13" i="5"/>
  <c r="P134" i="5" s="1"/>
  <c r="Q9" i="23"/>
  <c r="O19" i="5"/>
  <c r="O128" i="5"/>
  <c r="O63" i="2"/>
  <c r="T17" i="23"/>
  <c r="G10" i="6"/>
  <c r="G11" i="6" s="1"/>
  <c r="E71" i="8"/>
  <c r="E72" i="8" s="1"/>
  <c r="E113" i="5"/>
  <c r="E114" i="5"/>
  <c r="E48" i="5"/>
  <c r="F58" i="8"/>
  <c r="F103" i="8"/>
  <c r="K350" i="8"/>
  <c r="K88" i="8"/>
  <c r="K89" i="8" s="1"/>
  <c r="L87" i="8" s="1"/>
  <c r="L101" i="5" s="1"/>
  <c r="L125" i="8"/>
  <c r="L127" i="8" s="1"/>
  <c r="L128" i="8" s="1"/>
  <c r="L129" i="8" s="1"/>
  <c r="O107" i="8"/>
  <c r="O108" i="8" s="1"/>
  <c r="O109" i="8" s="1"/>
  <c r="Q5" i="8"/>
  <c r="P4" i="21"/>
  <c r="AH13" i="21"/>
  <c r="Q15" i="8"/>
  <c r="Q26" i="8"/>
  <c r="Q11" i="8"/>
  <c r="R11" i="8" s="1"/>
  <c r="R14" i="8"/>
  <c r="O191" i="8"/>
  <c r="L241" i="8"/>
  <c r="O93" i="8"/>
  <c r="O94" i="8" s="1"/>
  <c r="O95" i="8" s="1"/>
  <c r="P93" i="8" s="1"/>
  <c r="P94" i="8" s="1"/>
  <c r="R25" i="8"/>
  <c r="T12" i="17"/>
  <c r="R79" i="18" s="1"/>
  <c r="O180" i="8"/>
  <c r="O194" i="8"/>
  <c r="O196" i="8" s="1"/>
  <c r="N196" i="8"/>
  <c r="N199" i="8" s="1"/>
  <c r="P188" i="8"/>
  <c r="P190" i="8"/>
  <c r="O156" i="8"/>
  <c r="O182" i="8"/>
  <c r="O197" i="8"/>
  <c r="O198" i="8" s="1"/>
  <c r="O154" i="8"/>
  <c r="M224" i="8"/>
  <c r="M14" i="2"/>
  <c r="M240" i="8"/>
  <c r="P83" i="18"/>
  <c r="P84" i="18"/>
  <c r="R13" i="8"/>
  <c r="R21" i="8"/>
  <c r="Q20" i="8"/>
  <c r="Q9" i="8"/>
  <c r="M82" i="8"/>
  <c r="M83" i="8" s="1"/>
  <c r="N81" i="8" s="1"/>
  <c r="P17" i="8"/>
  <c r="O63" i="5"/>
  <c r="P6" i="5"/>
  <c r="R16" i="8"/>
  <c r="S19" i="8"/>
  <c r="S8" i="8"/>
  <c r="R27" i="8"/>
  <c r="K113" i="8"/>
  <c r="K114" i="8" s="1"/>
  <c r="K115" i="8" s="1"/>
  <c r="N327" i="8"/>
  <c r="P131" i="5"/>
  <c r="AC49" i="5"/>
  <c r="AB52" i="5"/>
  <c r="P288" i="8"/>
  <c r="P237" i="8"/>
  <c r="P132" i="5"/>
  <c r="Q117" i="8"/>
  <c r="Q168" i="8" s="1"/>
  <c r="R75" i="8"/>
  <c r="P146" i="5"/>
  <c r="H122" i="8"/>
  <c r="H123" i="8" s="1"/>
  <c r="O35" i="7"/>
  <c r="G134" i="8"/>
  <c r="G135" i="8" s="1"/>
  <c r="G351" i="8" s="1"/>
  <c r="G340" i="8"/>
  <c r="G10" i="2" s="1"/>
  <c r="G34" i="2"/>
  <c r="M119" i="8"/>
  <c r="R6" i="7"/>
  <c r="Q7" i="7"/>
  <c r="P205" i="8"/>
  <c r="P20" i="2" s="1"/>
  <c r="P305" i="8"/>
  <c r="P99" i="5"/>
  <c r="P129" i="5"/>
  <c r="P329" i="8"/>
  <c r="P130" i="5"/>
  <c r="P330" i="8"/>
  <c r="P112" i="5"/>
  <c r="P135" i="5"/>
  <c r="P336" i="8"/>
  <c r="R4" i="18"/>
  <c r="R3" i="18"/>
  <c r="R67" i="18"/>
  <c r="S2" i="18"/>
  <c r="S82" i="18" s="1"/>
  <c r="U10" i="17"/>
  <c r="S77" i="18" s="1"/>
  <c r="O104" i="5"/>
  <c r="O32" i="7"/>
  <c r="P337" i="8"/>
  <c r="P144" i="5"/>
  <c r="P335" i="8"/>
  <c r="P142" i="5"/>
  <c r="P31" i="7"/>
  <c r="P18" i="7"/>
  <c r="Q16" i="5"/>
  <c r="Q9" i="5"/>
  <c r="Q12" i="5"/>
  <c r="Q18" i="5"/>
  <c r="Q10" i="5"/>
  <c r="Q11" i="5"/>
  <c r="Q15" i="5"/>
  <c r="Q8" i="5"/>
  <c r="Q17" i="5"/>
  <c r="Q14" i="5"/>
  <c r="P11" i="7"/>
  <c r="P8" i="7"/>
  <c r="P331" i="8"/>
  <c r="P137" i="5"/>
  <c r="P147" i="5"/>
  <c r="O334" i="8"/>
  <c r="Z47" i="5"/>
  <c r="AA44" i="5"/>
  <c r="O117" i="5"/>
  <c r="R24" i="8"/>
  <c r="P138" i="5"/>
  <c r="P332" i="8"/>
  <c r="M239" i="8"/>
  <c r="M290" i="8"/>
  <c r="Q27" i="5"/>
  <c r="Q25" i="5"/>
  <c r="Q21" i="5"/>
  <c r="Q23" i="5"/>
  <c r="K131" i="8"/>
  <c r="U8" i="17"/>
  <c r="S75" i="18" s="1"/>
  <c r="P133" i="5"/>
  <c r="P333" i="8"/>
  <c r="O44" i="2"/>
  <c r="O328" i="8"/>
  <c r="O86" i="5"/>
  <c r="P139" i="5"/>
  <c r="O29" i="5" l="1"/>
  <c r="M33" i="5"/>
  <c r="O140" i="5"/>
  <c r="R9" i="23"/>
  <c r="Q64" i="5"/>
  <c r="R69" i="5"/>
  <c r="R74" i="5"/>
  <c r="R75" i="5"/>
  <c r="R73" i="5"/>
  <c r="R71" i="5"/>
  <c r="R72" i="5"/>
  <c r="R68" i="5"/>
  <c r="R66" i="5"/>
  <c r="R65" i="5"/>
  <c r="R67" i="5"/>
  <c r="Q7" i="5"/>
  <c r="R82" i="5"/>
  <c r="R83" i="5" s="1"/>
  <c r="R78" i="5"/>
  <c r="R79" i="5" s="1"/>
  <c r="R80" i="5"/>
  <c r="R84" i="5"/>
  <c r="S15" i="23"/>
  <c r="N61" i="2"/>
  <c r="N60" i="2" s="1"/>
  <c r="P48" i="8"/>
  <c r="O52" i="8"/>
  <c r="P50" i="8" s="1"/>
  <c r="P51" i="8" s="1"/>
  <c r="M60" i="2"/>
  <c r="P143" i="5"/>
  <c r="S21" i="8"/>
  <c r="R42" i="18"/>
  <c r="R40" i="18"/>
  <c r="Q36" i="8" s="1"/>
  <c r="R57" i="18"/>
  <c r="Q68" i="8" s="1"/>
  <c r="R41" i="18"/>
  <c r="R55" i="18"/>
  <c r="Q56" i="8" s="1"/>
  <c r="R56" i="18"/>
  <c r="Q62" i="8" s="1"/>
  <c r="Q77" i="5"/>
  <c r="Q85" i="5" s="1"/>
  <c r="N32" i="5"/>
  <c r="N30" i="5"/>
  <c r="N31" i="5"/>
  <c r="P76" i="5"/>
  <c r="P86" i="5" s="1"/>
  <c r="R14" i="23"/>
  <c r="E59" i="5"/>
  <c r="E34" i="5" s="1"/>
  <c r="Q13" i="5"/>
  <c r="O39" i="8"/>
  <c r="O40" i="8" s="1"/>
  <c r="P38" i="8" s="1"/>
  <c r="O100" i="5"/>
  <c r="O43" i="5"/>
  <c r="O56" i="5" s="1"/>
  <c r="Q70" i="5"/>
  <c r="Q76" i="5" s="1"/>
  <c r="P42" i="8"/>
  <c r="O46" i="8"/>
  <c r="P44" i="8" s="1"/>
  <c r="P45" i="8" s="1"/>
  <c r="Q26" i="5"/>
  <c r="Q24" i="5" s="1"/>
  <c r="Q145" i="5" s="1"/>
  <c r="Q19" i="5"/>
  <c r="T13" i="23"/>
  <c r="O59" i="2"/>
  <c r="T11" i="23"/>
  <c r="O57" i="2"/>
  <c r="P28" i="5"/>
  <c r="P149" i="5" s="1"/>
  <c r="P141" i="5"/>
  <c r="O58" i="2"/>
  <c r="T12" i="23"/>
  <c r="O223" i="8"/>
  <c r="O150" i="5"/>
  <c r="Q22" i="5"/>
  <c r="Q20" i="5" s="1"/>
  <c r="S11" i="23"/>
  <c r="N57" i="2"/>
  <c r="M55" i="2"/>
  <c r="P19" i="5"/>
  <c r="S10" i="23"/>
  <c r="S9" i="23" s="1"/>
  <c r="N56" i="2"/>
  <c r="N55" i="2" s="1"/>
  <c r="P63" i="2"/>
  <c r="U17" i="23"/>
  <c r="F59" i="8"/>
  <c r="F60" i="8" s="1"/>
  <c r="F64" i="8"/>
  <c r="G101" i="8"/>
  <c r="L350" i="8"/>
  <c r="M125" i="8"/>
  <c r="M127" i="8" s="1"/>
  <c r="M128" i="8" s="1"/>
  <c r="M129" i="8" s="1"/>
  <c r="L88" i="8"/>
  <c r="L89" i="8" s="1"/>
  <c r="M87" i="8" s="1"/>
  <c r="M101" i="5" s="1"/>
  <c r="P107" i="8"/>
  <c r="P108" i="8" s="1"/>
  <c r="P109" i="8" s="1"/>
  <c r="O206" i="8"/>
  <c r="O18" i="2" s="1"/>
  <c r="O42" i="2" s="1"/>
  <c r="N290" i="8"/>
  <c r="N22" i="21"/>
  <c r="N24" i="21" s="1"/>
  <c r="R5" i="8"/>
  <c r="Q4" i="21"/>
  <c r="AI13" i="21"/>
  <c r="R15" i="8"/>
  <c r="R26" i="8"/>
  <c r="R22" i="8"/>
  <c r="S22" i="8" s="1"/>
  <c r="S25" i="8"/>
  <c r="Q17" i="8"/>
  <c r="S14" i="8"/>
  <c r="M241" i="8"/>
  <c r="P95" i="8"/>
  <c r="R20" i="8"/>
  <c r="R9" i="8"/>
  <c r="O183" i="8"/>
  <c r="P155" i="8"/>
  <c r="P195" i="8"/>
  <c r="P154" i="8"/>
  <c r="P182" i="8"/>
  <c r="P197" i="8"/>
  <c r="P198" i="8" s="1"/>
  <c r="O199" i="8"/>
  <c r="U12" i="17"/>
  <c r="S79" i="18" s="1"/>
  <c r="M15" i="2"/>
  <c r="M38" i="2"/>
  <c r="M39" i="2" s="1"/>
  <c r="P191" i="8"/>
  <c r="P180" i="8"/>
  <c r="P194" i="8"/>
  <c r="N224" i="8"/>
  <c r="N14" i="2"/>
  <c r="N240" i="8"/>
  <c r="Q190" i="8"/>
  <c r="Q188" i="8"/>
  <c r="Q83" i="18"/>
  <c r="Q84" i="18"/>
  <c r="N239" i="8"/>
  <c r="Q147" i="5"/>
  <c r="Q131" i="5"/>
  <c r="S10" i="8"/>
  <c r="T10" i="8" s="1"/>
  <c r="N82" i="8"/>
  <c r="N83" i="8" s="1"/>
  <c r="O81" i="8" s="1"/>
  <c r="Q6" i="5"/>
  <c r="P63" i="5"/>
  <c r="L113" i="8"/>
  <c r="L114" i="8" s="1"/>
  <c r="L115" i="8" s="1"/>
  <c r="O327" i="8"/>
  <c r="S27" i="8"/>
  <c r="T19" i="8"/>
  <c r="T8" i="8"/>
  <c r="S16" i="8"/>
  <c r="Q288" i="8"/>
  <c r="Q237" i="8"/>
  <c r="AD49" i="5"/>
  <c r="AC52" i="5"/>
  <c r="Q146" i="5"/>
  <c r="Q148" i="5"/>
  <c r="S75" i="8"/>
  <c r="R117" i="8"/>
  <c r="R168" i="8" s="1"/>
  <c r="P334" i="8"/>
  <c r="AB44" i="5"/>
  <c r="AA47" i="5"/>
  <c r="P32" i="7"/>
  <c r="P35" i="7"/>
  <c r="Q112" i="5"/>
  <c r="Q135" i="5"/>
  <c r="R25" i="5"/>
  <c r="R27" i="5"/>
  <c r="R21" i="5"/>
  <c r="R23" i="5"/>
  <c r="Q11" i="7"/>
  <c r="Q8" i="7"/>
  <c r="G348" i="8"/>
  <c r="H133" i="8"/>
  <c r="I121" i="8"/>
  <c r="H349" i="8"/>
  <c r="Q144" i="5"/>
  <c r="Q337" i="8"/>
  <c r="P104" i="5"/>
  <c r="Q130" i="5"/>
  <c r="Q330" i="8"/>
  <c r="Q333" i="8"/>
  <c r="Q133" i="5"/>
  <c r="V10" i="17"/>
  <c r="T77" i="18" s="1"/>
  <c r="Q305" i="8"/>
  <c r="Q205" i="8"/>
  <c r="Q20" i="2" s="1"/>
  <c r="Q139" i="5"/>
  <c r="V8" i="17"/>
  <c r="T75" i="18" s="1"/>
  <c r="L131" i="8"/>
  <c r="Q142" i="5"/>
  <c r="Q335" i="8"/>
  <c r="P117" i="5"/>
  <c r="S4" i="18"/>
  <c r="S67" i="18"/>
  <c r="S3" i="18"/>
  <c r="T2" i="18"/>
  <c r="T82" i="18" s="1"/>
  <c r="S6" i="7"/>
  <c r="R7" i="7"/>
  <c r="Q132" i="5"/>
  <c r="Q136" i="5"/>
  <c r="P328" i="8"/>
  <c r="R12" i="5"/>
  <c r="R14" i="5"/>
  <c r="R10" i="5"/>
  <c r="R18" i="5"/>
  <c r="R139" i="5" s="1"/>
  <c r="R9" i="5"/>
  <c r="R11" i="5"/>
  <c r="R15" i="5"/>
  <c r="R17" i="5"/>
  <c r="R16" i="5"/>
  <c r="R8" i="5"/>
  <c r="Q143" i="5"/>
  <c r="Q336" i="8"/>
  <c r="S24" i="8"/>
  <c r="Q138" i="5"/>
  <c r="Q332" i="8"/>
  <c r="Q329" i="8"/>
  <c r="Q129" i="5"/>
  <c r="Q99" i="5"/>
  <c r="Q331" i="8"/>
  <c r="Q137" i="5"/>
  <c r="P44" i="2"/>
  <c r="Q18" i="7"/>
  <c r="Q31" i="7"/>
  <c r="N119" i="8"/>
  <c r="S13" i="8"/>
  <c r="R81" i="5" l="1"/>
  <c r="Q128" i="5"/>
  <c r="P29" i="5"/>
  <c r="P140" i="5"/>
  <c r="R7" i="5"/>
  <c r="S69" i="5"/>
  <c r="S75" i="5"/>
  <c r="S73" i="5"/>
  <c r="S72" i="5"/>
  <c r="S71" i="5"/>
  <c r="S74" i="5"/>
  <c r="S68" i="5"/>
  <c r="S66" i="5"/>
  <c r="S67" i="5"/>
  <c r="S65" i="5"/>
  <c r="S55" i="18"/>
  <c r="R56" i="8" s="1"/>
  <c r="S56" i="18"/>
  <c r="R62" i="8" s="1"/>
  <c r="S42" i="18"/>
  <c r="S40" i="18"/>
  <c r="R36" i="8" s="1"/>
  <c r="S57" i="18"/>
  <c r="S41" i="18"/>
  <c r="P206" i="8"/>
  <c r="P18" i="2" s="1"/>
  <c r="P42" i="2" s="1"/>
  <c r="T15" i="23"/>
  <c r="O61" i="2"/>
  <c r="Q42" i="8"/>
  <c r="P46" i="8"/>
  <c r="Q44" i="8" s="1"/>
  <c r="Q45" i="8" s="1"/>
  <c r="P39" i="8"/>
  <c r="P40" i="8" s="1"/>
  <c r="Q38" i="8" s="1"/>
  <c r="P100" i="5"/>
  <c r="P43" i="5"/>
  <c r="P56" i="5" s="1"/>
  <c r="E36" i="5"/>
  <c r="N33" i="5"/>
  <c r="R68" i="8"/>
  <c r="S82" i="5"/>
  <c r="S83" i="5" s="1"/>
  <c r="S80" i="5"/>
  <c r="S84" i="5"/>
  <c r="S78" i="5"/>
  <c r="S79" i="5" s="1"/>
  <c r="E35" i="5"/>
  <c r="Q48" i="8"/>
  <c r="P52" i="8"/>
  <c r="Q50" i="8" s="1"/>
  <c r="Q51" i="8" s="1"/>
  <c r="P156" i="8"/>
  <c r="T16" i="23"/>
  <c r="O62" i="2"/>
  <c r="O30" i="5"/>
  <c r="O31" i="5"/>
  <c r="O32" i="5"/>
  <c r="Q134" i="5"/>
  <c r="S14" i="23"/>
  <c r="R77" i="5"/>
  <c r="R85" i="5" s="1"/>
  <c r="R64" i="5"/>
  <c r="R128" i="5" s="1"/>
  <c r="R70" i="5"/>
  <c r="Q28" i="5"/>
  <c r="Q149" i="5" s="1"/>
  <c r="Q141" i="5"/>
  <c r="R13" i="5"/>
  <c r="R22" i="5"/>
  <c r="R20" i="5" s="1"/>
  <c r="R26" i="5"/>
  <c r="R24" i="5" s="1"/>
  <c r="R145" i="5" s="1"/>
  <c r="P223" i="8"/>
  <c r="P150" i="5"/>
  <c r="T10" i="23"/>
  <c r="T9" i="23" s="1"/>
  <c r="O56" i="2"/>
  <c r="O55" i="2" s="1"/>
  <c r="U12" i="23"/>
  <c r="P58" i="2"/>
  <c r="U11" i="23"/>
  <c r="P57" i="2"/>
  <c r="Q63" i="2"/>
  <c r="V17" i="23"/>
  <c r="H10" i="6"/>
  <c r="H11" i="6" s="1"/>
  <c r="F65" i="8"/>
  <c r="F66" i="8" s="1"/>
  <c r="G102" i="8"/>
  <c r="F70" i="8"/>
  <c r="F71" i="8" s="1"/>
  <c r="F72" i="8" s="1"/>
  <c r="M350" i="8"/>
  <c r="N127" i="8"/>
  <c r="N128" i="8" s="1"/>
  <c r="M88" i="8"/>
  <c r="M89" i="8" s="1"/>
  <c r="N87" i="8" s="1"/>
  <c r="N101" i="5" s="1"/>
  <c r="N125" i="8"/>
  <c r="Q93" i="8"/>
  <c r="Q94" i="8" s="1"/>
  <c r="Q95" i="8" s="1"/>
  <c r="Q107" i="8"/>
  <c r="Q108" i="8" s="1"/>
  <c r="Q109" i="8" s="1"/>
  <c r="O290" i="8"/>
  <c r="O22" i="21"/>
  <c r="O24" i="21" s="1"/>
  <c r="S5" i="8"/>
  <c r="R4" i="21"/>
  <c r="S26" i="8"/>
  <c r="R17" i="8"/>
  <c r="S15" i="8"/>
  <c r="T15" i="8" s="1"/>
  <c r="S11" i="8"/>
  <c r="T22" i="8" s="1"/>
  <c r="T25" i="8"/>
  <c r="T14" i="8"/>
  <c r="Q191" i="8"/>
  <c r="S20" i="8"/>
  <c r="S9" i="8"/>
  <c r="N241" i="8"/>
  <c r="Q194" i="8"/>
  <c r="Q180" i="8"/>
  <c r="Q195" i="8"/>
  <c r="N38" i="2"/>
  <c r="N39" i="2" s="1"/>
  <c r="N15" i="2"/>
  <c r="P196" i="8"/>
  <c r="P199" i="8" s="1"/>
  <c r="R190" i="8"/>
  <c r="R188" i="8"/>
  <c r="O240" i="8"/>
  <c r="O14" i="2"/>
  <c r="O224" i="8"/>
  <c r="P183" i="8"/>
  <c r="Q182" i="8"/>
  <c r="Q197" i="8"/>
  <c r="Q198" i="8" s="1"/>
  <c r="Q154" i="8"/>
  <c r="Q155" i="8"/>
  <c r="V12" i="17"/>
  <c r="T79" i="18" s="1"/>
  <c r="R83" i="18"/>
  <c r="R84" i="18"/>
  <c r="O82" i="8"/>
  <c r="O83" i="8" s="1"/>
  <c r="P81" i="8" s="1"/>
  <c r="T21" i="8"/>
  <c r="U21" i="8" s="1"/>
  <c r="T16" i="8"/>
  <c r="Q140" i="5"/>
  <c r="Q63" i="5"/>
  <c r="R6" i="5"/>
  <c r="O239" i="8"/>
  <c r="U8" i="8"/>
  <c r="U19" i="8"/>
  <c r="T27" i="8"/>
  <c r="M113" i="8"/>
  <c r="M114" i="8" s="1"/>
  <c r="M115" i="8" s="1"/>
  <c r="P327" i="8"/>
  <c r="R146" i="5"/>
  <c r="R148" i="5"/>
  <c r="S117" i="8"/>
  <c r="S168" i="8" s="1"/>
  <c r="T75" i="8"/>
  <c r="R237" i="8"/>
  <c r="R288" i="8"/>
  <c r="AE49" i="5"/>
  <c r="AD52" i="5"/>
  <c r="Q328" i="8"/>
  <c r="R136" i="5"/>
  <c r="R131" i="5"/>
  <c r="T13" i="8"/>
  <c r="Q334" i="8"/>
  <c r="R129" i="5"/>
  <c r="R99" i="5"/>
  <c r="R329" i="8"/>
  <c r="Q44" i="2"/>
  <c r="H134" i="8"/>
  <c r="H135" i="8" s="1"/>
  <c r="H351" i="8" s="1"/>
  <c r="H34" i="2"/>
  <c r="H340" i="8"/>
  <c r="H10" i="2" s="1"/>
  <c r="Q35" i="7"/>
  <c r="R332" i="8"/>
  <c r="R138" i="5"/>
  <c r="R137" i="5"/>
  <c r="R331" i="8"/>
  <c r="T6" i="7"/>
  <c r="S7" i="7"/>
  <c r="W8" i="17"/>
  <c r="U75" i="18" s="1"/>
  <c r="S27" i="5"/>
  <c r="S25" i="5"/>
  <c r="S146" i="5" s="1"/>
  <c r="S23" i="5"/>
  <c r="S21" i="5"/>
  <c r="I122" i="8"/>
  <c r="I123" i="8" s="1"/>
  <c r="Q104" i="5"/>
  <c r="R142" i="5"/>
  <c r="R335" i="8"/>
  <c r="T67" i="18"/>
  <c r="T3" i="18"/>
  <c r="T4" i="18"/>
  <c r="U2" i="18"/>
  <c r="U82" i="18" s="1"/>
  <c r="M131" i="8"/>
  <c r="W10" i="17"/>
  <c r="U77" i="18" s="1"/>
  <c r="Q32" i="7"/>
  <c r="O119" i="8"/>
  <c r="R333" i="8"/>
  <c r="R133" i="5"/>
  <c r="R135" i="5"/>
  <c r="R112" i="5"/>
  <c r="R31" i="7"/>
  <c r="R18" i="7"/>
  <c r="R205" i="8"/>
  <c r="R20" i="2" s="1"/>
  <c r="R305" i="8"/>
  <c r="S11" i="5"/>
  <c r="S18" i="5"/>
  <c r="S8" i="5"/>
  <c r="S10" i="5"/>
  <c r="S15" i="5"/>
  <c r="S14" i="5"/>
  <c r="S12" i="5"/>
  <c r="S9" i="5"/>
  <c r="S17" i="5"/>
  <c r="S16" i="5"/>
  <c r="Q117" i="5"/>
  <c r="R336" i="8"/>
  <c r="Q86" i="5"/>
  <c r="T24" i="8"/>
  <c r="R130" i="5"/>
  <c r="R330" i="8"/>
  <c r="R11" i="7"/>
  <c r="R8" i="7"/>
  <c r="R337" i="8"/>
  <c r="R144" i="5"/>
  <c r="AB47" i="5"/>
  <c r="AC44" i="5"/>
  <c r="R132" i="5"/>
  <c r="R134" i="5" l="1"/>
  <c r="E37" i="5"/>
  <c r="E38" i="5" s="1"/>
  <c r="E39" i="5" s="1"/>
  <c r="R143" i="5"/>
  <c r="S77" i="5"/>
  <c r="S139" i="5"/>
  <c r="S70" i="5"/>
  <c r="R42" i="8"/>
  <c r="Q46" i="8"/>
  <c r="R44" i="8" s="1"/>
  <c r="R45" i="8" s="1"/>
  <c r="O60" i="2"/>
  <c r="Q206" i="8"/>
  <c r="Q18" i="2" s="1"/>
  <c r="Q42" i="2" s="1"/>
  <c r="U15" i="23"/>
  <c r="P61" i="2"/>
  <c r="P30" i="5"/>
  <c r="P32" i="5"/>
  <c r="P31" i="5"/>
  <c r="T41" i="18"/>
  <c r="T55" i="18"/>
  <c r="S56" i="8" s="1"/>
  <c r="T56" i="18"/>
  <c r="S62" i="8" s="1"/>
  <c r="T40" i="18"/>
  <c r="S36" i="8" s="1"/>
  <c r="T42" i="18"/>
  <c r="T57" i="18"/>
  <c r="S68" i="8" s="1"/>
  <c r="R19" i="5"/>
  <c r="R76" i="5"/>
  <c r="O33" i="5"/>
  <c r="S81" i="5"/>
  <c r="S85" i="5" s="1"/>
  <c r="Q39" i="8"/>
  <c r="Q40" i="8" s="1"/>
  <c r="R38" i="8" s="1"/>
  <c r="Q43" i="5"/>
  <c r="Q56" i="5" s="1"/>
  <c r="Q30" i="5" s="1"/>
  <c r="Q100" i="5"/>
  <c r="T14" i="23"/>
  <c r="T82" i="5"/>
  <c r="T83" i="5" s="1"/>
  <c r="T80" i="5"/>
  <c r="T78" i="5"/>
  <c r="T79" i="5" s="1"/>
  <c r="T84" i="5"/>
  <c r="T69" i="5"/>
  <c r="T74" i="5"/>
  <c r="T72" i="5"/>
  <c r="T71" i="5"/>
  <c r="T75" i="5"/>
  <c r="T73" i="5"/>
  <c r="T68" i="5"/>
  <c r="T67" i="5"/>
  <c r="T65" i="5"/>
  <c r="T66" i="5"/>
  <c r="Q156" i="8"/>
  <c r="U16" i="23"/>
  <c r="P62" i="2"/>
  <c r="P60" i="2" s="1"/>
  <c r="U13" i="23"/>
  <c r="P59" i="2"/>
  <c r="R48" i="8"/>
  <c r="Q52" i="8"/>
  <c r="R50" i="8" s="1"/>
  <c r="R51" i="8" s="1"/>
  <c r="S64" i="5"/>
  <c r="S76" i="5" s="1"/>
  <c r="Q58" i="2"/>
  <c r="V12" i="23"/>
  <c r="R28" i="5"/>
  <c r="R149" i="5" s="1"/>
  <c r="R141" i="5"/>
  <c r="S13" i="5"/>
  <c r="V13" i="23"/>
  <c r="Q59" i="2"/>
  <c r="Q223" i="8"/>
  <c r="S7" i="5"/>
  <c r="R147" i="5"/>
  <c r="S22" i="5"/>
  <c r="S20" i="5" s="1"/>
  <c r="S26" i="5"/>
  <c r="S24" i="5" s="1"/>
  <c r="Q29" i="5"/>
  <c r="Q150" i="5" s="1"/>
  <c r="V11" i="23"/>
  <c r="Q57" i="2"/>
  <c r="U10" i="23"/>
  <c r="U9" i="23" s="1"/>
  <c r="P56" i="2"/>
  <c r="P55" i="2" s="1"/>
  <c r="R63" i="2"/>
  <c r="W17" i="23"/>
  <c r="F113" i="5"/>
  <c r="P82" i="8"/>
  <c r="P83" i="8" s="1"/>
  <c r="Q81" i="8" s="1"/>
  <c r="F48" i="5"/>
  <c r="F114" i="5"/>
  <c r="G58" i="8"/>
  <c r="G103" i="8"/>
  <c r="S136" i="5"/>
  <c r="N129" i="8"/>
  <c r="O125" i="8"/>
  <c r="N88" i="8"/>
  <c r="N89" i="8" s="1"/>
  <c r="O87" i="8" s="1"/>
  <c r="O101" i="5" s="1"/>
  <c r="R93" i="8"/>
  <c r="R94" i="8" s="1"/>
  <c r="R95" i="8" s="1"/>
  <c r="S93" i="8" s="1"/>
  <c r="S94" i="8" s="1"/>
  <c r="R107" i="8"/>
  <c r="R108" i="8" s="1"/>
  <c r="R109" i="8" s="1"/>
  <c r="S107" i="8" s="1"/>
  <c r="S108" i="8" s="1"/>
  <c r="P239" i="8"/>
  <c r="P22" i="21"/>
  <c r="P24" i="21" s="1"/>
  <c r="T5" i="8"/>
  <c r="S4" i="21"/>
  <c r="T26" i="8"/>
  <c r="U26" i="8" s="1"/>
  <c r="T11" i="8"/>
  <c r="U22" i="8" s="1"/>
  <c r="S17" i="8"/>
  <c r="U25" i="8"/>
  <c r="U14" i="8"/>
  <c r="Q183" i="8"/>
  <c r="T9" i="8"/>
  <c r="R191" i="8"/>
  <c r="O241" i="8"/>
  <c r="T20" i="8"/>
  <c r="W12" i="17"/>
  <c r="U79" i="18" s="1"/>
  <c r="O38" i="2"/>
  <c r="O39" i="2" s="1"/>
  <c r="O15" i="2"/>
  <c r="R182" i="8"/>
  <c r="R197" i="8"/>
  <c r="R198" i="8" s="1"/>
  <c r="R154" i="8"/>
  <c r="R195" i="8"/>
  <c r="Q196" i="8"/>
  <c r="Q199" i="8" s="1"/>
  <c r="S190" i="8"/>
  <c r="R194" i="8"/>
  <c r="R180" i="8"/>
  <c r="R155" i="8"/>
  <c r="P224" i="8"/>
  <c r="P14" i="2"/>
  <c r="P240" i="8"/>
  <c r="S83" i="18"/>
  <c r="S84" i="18"/>
  <c r="U27" i="8"/>
  <c r="U10" i="8"/>
  <c r="V10" i="8" s="1"/>
  <c r="R63" i="5"/>
  <c r="S6" i="5"/>
  <c r="V19" i="8"/>
  <c r="S131" i="5"/>
  <c r="N113" i="8"/>
  <c r="N114" i="8" s="1"/>
  <c r="N115" i="8" s="1"/>
  <c r="R86" i="5"/>
  <c r="P290" i="8"/>
  <c r="S132" i="5"/>
  <c r="V8" i="8"/>
  <c r="U16" i="8"/>
  <c r="R140" i="5"/>
  <c r="T117" i="8"/>
  <c r="T168" i="8" s="1"/>
  <c r="U75" i="8"/>
  <c r="AE52" i="5"/>
  <c r="AF49" i="5"/>
  <c r="S288" i="8"/>
  <c r="S237" i="8"/>
  <c r="Q327" i="8"/>
  <c r="AC47" i="5"/>
  <c r="AD44" i="5"/>
  <c r="U24" i="8"/>
  <c r="S133" i="5"/>
  <c r="S333" i="8"/>
  <c r="S11" i="7"/>
  <c r="S8" i="7"/>
  <c r="S112" i="5"/>
  <c r="S135" i="5"/>
  <c r="S329" i="8"/>
  <c r="S129" i="5"/>
  <c r="S99" i="5"/>
  <c r="X10" i="17"/>
  <c r="V77" i="18" s="1"/>
  <c r="J121" i="8"/>
  <c r="I349" i="8"/>
  <c r="S144" i="5"/>
  <c r="S337" i="8"/>
  <c r="U6" i="7"/>
  <c r="T7" i="7"/>
  <c r="U13" i="8"/>
  <c r="R32" i="7"/>
  <c r="R44" i="2"/>
  <c r="X8" i="17"/>
  <c r="V75" i="18" s="1"/>
  <c r="R117" i="5"/>
  <c r="S330" i="8"/>
  <c r="S130" i="5"/>
  <c r="P119" i="8"/>
  <c r="T25" i="5"/>
  <c r="T23" i="5"/>
  <c r="T27" i="5"/>
  <c r="T21" i="5"/>
  <c r="U4" i="18"/>
  <c r="U67" i="18"/>
  <c r="V2" i="18"/>
  <c r="V82" i="18" s="1"/>
  <c r="U3" i="18"/>
  <c r="S336" i="8"/>
  <c r="S143" i="5"/>
  <c r="S142" i="5"/>
  <c r="S335" i="8"/>
  <c r="S31" i="7"/>
  <c r="S18" i="7"/>
  <c r="R334" i="8"/>
  <c r="S148" i="5"/>
  <c r="S137" i="5"/>
  <c r="S331" i="8"/>
  <c r="R104" i="5"/>
  <c r="R35" i="7"/>
  <c r="S138" i="5"/>
  <c r="S332" i="8"/>
  <c r="N131" i="8"/>
  <c r="S305" i="8"/>
  <c r="S205" i="8"/>
  <c r="S20" i="2" s="1"/>
  <c r="T8" i="5"/>
  <c r="T16" i="5"/>
  <c r="T10" i="5"/>
  <c r="T12" i="5"/>
  <c r="T9" i="5"/>
  <c r="T18" i="5"/>
  <c r="T15" i="5"/>
  <c r="T14" i="5"/>
  <c r="T17" i="5"/>
  <c r="T11" i="5"/>
  <c r="H348" i="8"/>
  <c r="I133" i="8"/>
  <c r="R328" i="8"/>
  <c r="S134" i="5" l="1"/>
  <c r="S147" i="5"/>
  <c r="T77" i="5"/>
  <c r="T85" i="5" s="1"/>
  <c r="T81" i="5"/>
  <c r="F59" i="5"/>
  <c r="F34" i="5" s="1"/>
  <c r="U78" i="5"/>
  <c r="U79" i="5" s="1"/>
  <c r="U82" i="5"/>
  <c r="U83" i="5" s="1"/>
  <c r="U80" i="5"/>
  <c r="U84" i="5"/>
  <c r="P33" i="5"/>
  <c r="R156" i="8"/>
  <c r="V16" i="23"/>
  <c r="Q62" i="2"/>
  <c r="R29" i="5"/>
  <c r="R206" i="8"/>
  <c r="R18" i="2" s="1"/>
  <c r="R42" i="2" s="1"/>
  <c r="V15" i="23"/>
  <c r="V14" i="23" s="1"/>
  <c r="Q61" i="2"/>
  <c r="Q60" i="2" s="1"/>
  <c r="S145" i="5"/>
  <c r="W12" i="23" s="1"/>
  <c r="S48" i="8"/>
  <c r="R52" i="8"/>
  <c r="S50" i="8" s="1"/>
  <c r="S51" i="8" s="1"/>
  <c r="T64" i="5"/>
  <c r="Q32" i="5"/>
  <c r="Q31" i="5"/>
  <c r="U69" i="5"/>
  <c r="U74" i="5"/>
  <c r="U75" i="5"/>
  <c r="U71" i="5"/>
  <c r="U72" i="5"/>
  <c r="U73" i="5"/>
  <c r="U66" i="5"/>
  <c r="U67" i="5"/>
  <c r="U68" i="5"/>
  <c r="U65" i="5"/>
  <c r="U57" i="18"/>
  <c r="T68" i="8" s="1"/>
  <c r="U41" i="18"/>
  <c r="U55" i="18"/>
  <c r="T56" i="8" s="1"/>
  <c r="U56" i="18"/>
  <c r="T62" i="8" s="1"/>
  <c r="U40" i="18"/>
  <c r="T36" i="8" s="1"/>
  <c r="U42" i="18"/>
  <c r="T70" i="5"/>
  <c r="T76" i="5" s="1"/>
  <c r="R39" i="8"/>
  <c r="R40" i="8" s="1"/>
  <c r="S38" i="8" s="1"/>
  <c r="R100" i="5"/>
  <c r="R43" i="5"/>
  <c r="R56" i="5" s="1"/>
  <c r="U14" i="23"/>
  <c r="S42" i="8"/>
  <c r="R46" i="8"/>
  <c r="S44" i="8" s="1"/>
  <c r="S45" i="8" s="1"/>
  <c r="T7" i="5"/>
  <c r="T26" i="5"/>
  <c r="T24" i="5" s="1"/>
  <c r="T145" i="5" s="1"/>
  <c r="R223" i="8"/>
  <c r="R150" i="5"/>
  <c r="S28" i="5"/>
  <c r="S149" i="5" s="1"/>
  <c r="S141" i="5"/>
  <c r="S19" i="5"/>
  <c r="S128" i="5"/>
  <c r="W13" i="23"/>
  <c r="R59" i="2"/>
  <c r="T13" i="5"/>
  <c r="T22" i="5"/>
  <c r="T143" i="5" s="1"/>
  <c r="V10" i="23"/>
  <c r="V9" i="23" s="1"/>
  <c r="Q56" i="2"/>
  <c r="Q55" i="2" s="1"/>
  <c r="S63" i="2"/>
  <c r="X17" i="23"/>
  <c r="I10" i="6"/>
  <c r="I11" i="6" s="1"/>
  <c r="G59" i="8"/>
  <c r="G60" i="8" s="1"/>
  <c r="G64" i="8"/>
  <c r="H101" i="8"/>
  <c r="O88" i="8"/>
  <c r="O89" i="8" s="1"/>
  <c r="P87" i="8" s="1"/>
  <c r="P101" i="5" s="1"/>
  <c r="P125" i="8"/>
  <c r="O127" i="8"/>
  <c r="O128" i="8" s="1"/>
  <c r="O129" i="8" s="1"/>
  <c r="N350" i="8"/>
  <c r="Q82" i="8"/>
  <c r="Q83" i="8" s="1"/>
  <c r="R81" i="8" s="1"/>
  <c r="Q239" i="8"/>
  <c r="Q22" i="21"/>
  <c r="Q24" i="21" s="1"/>
  <c r="P241" i="8"/>
  <c r="U5" i="8"/>
  <c r="T4" i="21"/>
  <c r="S109" i="8"/>
  <c r="T107" i="8" s="1"/>
  <c r="T108" i="8" s="1"/>
  <c r="V14" i="8"/>
  <c r="U15" i="8"/>
  <c r="V26" i="8" s="1"/>
  <c r="V25" i="8"/>
  <c r="U11" i="8"/>
  <c r="V22" i="8" s="1"/>
  <c r="U9" i="8"/>
  <c r="U20" i="8"/>
  <c r="T17" i="8"/>
  <c r="Q290" i="8"/>
  <c r="R196" i="8"/>
  <c r="R199" i="8" s="1"/>
  <c r="R240" i="8" s="1"/>
  <c r="S95" i="8"/>
  <c r="T93" i="8" s="1"/>
  <c r="T94" i="8" s="1"/>
  <c r="P38" i="2"/>
  <c r="P39" i="2" s="1"/>
  <c r="P15" i="2"/>
  <c r="S154" i="8"/>
  <c r="S155" i="8"/>
  <c r="S188" i="8"/>
  <c r="S191" i="8" s="1"/>
  <c r="R183" i="8"/>
  <c r="T155" i="8"/>
  <c r="T195" i="8"/>
  <c r="T190" i="8"/>
  <c r="S180" i="8"/>
  <c r="S194" i="8"/>
  <c r="S195" i="8"/>
  <c r="S182" i="8"/>
  <c r="S197" i="8"/>
  <c r="S198" i="8" s="1"/>
  <c r="Q14" i="2"/>
  <c r="Q240" i="8"/>
  <c r="Q224" i="8"/>
  <c r="X12" i="17"/>
  <c r="V79" i="18" s="1"/>
  <c r="T83" i="18"/>
  <c r="T84" i="18"/>
  <c r="V21" i="8"/>
  <c r="W21" i="8" s="1"/>
  <c r="V16" i="8"/>
  <c r="S86" i="5"/>
  <c r="T131" i="5"/>
  <c r="W8" i="8"/>
  <c r="S63" i="5"/>
  <c r="T6" i="5"/>
  <c r="O113" i="8"/>
  <c r="O114" i="8" s="1"/>
  <c r="O115" i="8" s="1"/>
  <c r="V27" i="8"/>
  <c r="W19" i="8"/>
  <c r="R327" i="8"/>
  <c r="AF52" i="5"/>
  <c r="AG49" i="5"/>
  <c r="T237" i="8"/>
  <c r="T288" i="8"/>
  <c r="V75" i="8"/>
  <c r="U117" i="8"/>
  <c r="U168" i="8" s="1"/>
  <c r="T205" i="8"/>
  <c r="T20" i="2" s="1"/>
  <c r="T305" i="8"/>
  <c r="T336" i="8"/>
  <c r="T337" i="8"/>
  <c r="T144" i="5"/>
  <c r="U12" i="5"/>
  <c r="U14" i="5"/>
  <c r="U16" i="5"/>
  <c r="U15" i="5"/>
  <c r="U18" i="5"/>
  <c r="U11" i="5"/>
  <c r="U10" i="5"/>
  <c r="U17" i="5"/>
  <c r="U9" i="5"/>
  <c r="U8" i="5"/>
  <c r="V6" i="7"/>
  <c r="U7" i="7"/>
  <c r="J122" i="8"/>
  <c r="J123" i="8" s="1"/>
  <c r="Y10" i="17"/>
  <c r="W77" i="18" s="1"/>
  <c r="S35" i="7"/>
  <c r="T132" i="5"/>
  <c r="O131" i="8"/>
  <c r="T129" i="5"/>
  <c r="T99" i="5"/>
  <c r="T329" i="8"/>
  <c r="I134" i="8"/>
  <c r="I135" i="8" s="1"/>
  <c r="I351" i="8" s="1"/>
  <c r="I34" i="2"/>
  <c r="I340" i="8"/>
  <c r="T333" i="8"/>
  <c r="T133" i="5"/>
  <c r="T138" i="5"/>
  <c r="T332" i="8"/>
  <c r="W2" i="18"/>
  <c r="W82" i="18" s="1"/>
  <c r="V3" i="18"/>
  <c r="V67" i="18"/>
  <c r="V4" i="18"/>
  <c r="Q119" i="8"/>
  <c r="Y8" i="17"/>
  <c r="W75" i="18" s="1"/>
  <c r="T31" i="7"/>
  <c r="T18" i="7"/>
  <c r="U23" i="5"/>
  <c r="U27" i="5"/>
  <c r="U25" i="5"/>
  <c r="U21" i="5"/>
  <c r="S117" i="5"/>
  <c r="S334" i="8"/>
  <c r="T146" i="5"/>
  <c r="T330" i="8"/>
  <c r="T130" i="5"/>
  <c r="T137" i="5"/>
  <c r="T331" i="8"/>
  <c r="S44" i="2"/>
  <c r="T142" i="5"/>
  <c r="T335" i="8"/>
  <c r="S32" i="7"/>
  <c r="V24" i="8"/>
  <c r="T135" i="5"/>
  <c r="T112" i="5"/>
  <c r="T8" i="7"/>
  <c r="T11" i="7"/>
  <c r="S104" i="5"/>
  <c r="AD47" i="5"/>
  <c r="AE44" i="5"/>
  <c r="T139" i="5"/>
  <c r="T136" i="5"/>
  <c r="T148" i="5"/>
  <c r="V13" i="8"/>
  <c r="S328" i="8"/>
  <c r="T134" i="5" l="1"/>
  <c r="U70" i="5"/>
  <c r="U77" i="5"/>
  <c r="T147" i="5"/>
  <c r="U148" i="5"/>
  <c r="U81" i="5"/>
  <c r="U85" i="5" s="1"/>
  <c r="F36" i="5"/>
  <c r="R58" i="2"/>
  <c r="S29" i="5"/>
  <c r="Q33" i="5"/>
  <c r="S140" i="5"/>
  <c r="T42" i="8"/>
  <c r="S46" i="8"/>
  <c r="T44" i="8" s="1"/>
  <c r="T45" i="8" s="1"/>
  <c r="T156" i="8"/>
  <c r="X16" i="23"/>
  <c r="S62" i="2"/>
  <c r="S206" i="8"/>
  <c r="S18" i="2" s="1"/>
  <c r="S42" i="2" s="1"/>
  <c r="W15" i="23"/>
  <c r="W14" i="23" s="1"/>
  <c r="R61" i="2"/>
  <c r="T20" i="5"/>
  <c r="T28" i="5" s="1"/>
  <c r="T149" i="5" s="1"/>
  <c r="S39" i="8"/>
  <c r="S40" i="8" s="1"/>
  <c r="T38" i="8" s="1"/>
  <c r="S100" i="5"/>
  <c r="S43" i="5"/>
  <c r="S56" i="5" s="1"/>
  <c r="T48" i="8"/>
  <c r="S52" i="8"/>
  <c r="T50" i="8" s="1"/>
  <c r="T51" i="8" s="1"/>
  <c r="S156" i="8"/>
  <c r="W16" i="23"/>
  <c r="R62" i="2"/>
  <c r="V42" i="18"/>
  <c r="V40" i="18"/>
  <c r="U36" i="8" s="1"/>
  <c r="V57" i="18"/>
  <c r="U68" i="8" s="1"/>
  <c r="V41" i="18"/>
  <c r="V55" i="18"/>
  <c r="U56" i="8" s="1"/>
  <c r="V56" i="18"/>
  <c r="U62" i="8" s="1"/>
  <c r="U64" i="5"/>
  <c r="V69" i="5"/>
  <c r="V72" i="5"/>
  <c r="V75" i="5"/>
  <c r="V73" i="5"/>
  <c r="V71" i="5"/>
  <c r="V74" i="5"/>
  <c r="V65" i="5"/>
  <c r="V68" i="5"/>
  <c r="V66" i="5"/>
  <c r="V67" i="5"/>
  <c r="V78" i="5"/>
  <c r="V79" i="5" s="1"/>
  <c r="V80" i="5"/>
  <c r="V84" i="5"/>
  <c r="V82" i="5"/>
  <c r="V83" i="5" s="1"/>
  <c r="U7" i="5"/>
  <c r="U128" i="5" s="1"/>
  <c r="R30" i="5"/>
  <c r="R31" i="5"/>
  <c r="R32" i="5"/>
  <c r="F35" i="5"/>
  <c r="S58" i="2"/>
  <c r="X12" i="23"/>
  <c r="U13" i="5"/>
  <c r="U134" i="5" s="1"/>
  <c r="S223" i="8"/>
  <c r="S150" i="5"/>
  <c r="T141" i="5"/>
  <c r="W11" i="23"/>
  <c r="R57" i="2"/>
  <c r="W10" i="23"/>
  <c r="R56" i="2"/>
  <c r="T19" i="5"/>
  <c r="T140" i="5" s="1"/>
  <c r="T128" i="5"/>
  <c r="U22" i="5"/>
  <c r="U143" i="5" s="1"/>
  <c r="U146" i="5"/>
  <c r="U26" i="5"/>
  <c r="U24" i="5" s="1"/>
  <c r="X13" i="23"/>
  <c r="S59" i="2"/>
  <c r="T63" i="2"/>
  <c r="Y17" i="23"/>
  <c r="G65" i="8"/>
  <c r="G66" i="8" s="1"/>
  <c r="H102" i="8"/>
  <c r="G70" i="8"/>
  <c r="G71" i="8" s="1"/>
  <c r="G72" i="8" s="1"/>
  <c r="V20" i="8"/>
  <c r="P127" i="8"/>
  <c r="P128" i="8" s="1"/>
  <c r="P129" i="8" s="1"/>
  <c r="O350" i="8"/>
  <c r="Q125" i="8"/>
  <c r="P88" i="8"/>
  <c r="P89" i="8" s="1"/>
  <c r="Q87" i="8" s="1"/>
  <c r="Q101" i="5" s="1"/>
  <c r="S183" i="8"/>
  <c r="R82" i="8"/>
  <c r="R83" i="8" s="1"/>
  <c r="S81" i="8" s="1"/>
  <c r="R239" i="8"/>
  <c r="R241" i="8" s="1"/>
  <c r="R22" i="21"/>
  <c r="R24" i="21" s="1"/>
  <c r="V5" i="8"/>
  <c r="U4" i="21"/>
  <c r="Q241" i="8"/>
  <c r="T109" i="8"/>
  <c r="U107" i="8" s="1"/>
  <c r="U108" i="8" s="1"/>
  <c r="W14" i="8"/>
  <c r="V9" i="8"/>
  <c r="V15" i="8"/>
  <c r="W15" i="8" s="1"/>
  <c r="W25" i="8"/>
  <c r="U17" i="8"/>
  <c r="V11" i="8"/>
  <c r="W22" i="8" s="1"/>
  <c r="I10" i="2"/>
  <c r="T95" i="8"/>
  <c r="U93" i="8" s="1"/>
  <c r="U94" i="8" s="1"/>
  <c r="R224" i="8"/>
  <c r="W27" i="8"/>
  <c r="S196" i="8"/>
  <c r="S199" i="8" s="1"/>
  <c r="S240" i="8" s="1"/>
  <c r="R14" i="2"/>
  <c r="R38" i="2" s="1"/>
  <c r="R39" i="2" s="1"/>
  <c r="P113" i="8"/>
  <c r="Y12" i="17"/>
  <c r="W79" i="18" s="1"/>
  <c r="Q15" i="2"/>
  <c r="Q38" i="2"/>
  <c r="Q39" i="2" s="1"/>
  <c r="T188" i="8"/>
  <c r="T191" i="8" s="1"/>
  <c r="U188" i="8"/>
  <c r="U190" i="8"/>
  <c r="T194" i="8"/>
  <c r="T196" i="8" s="1"/>
  <c r="T180" i="8"/>
  <c r="T154" i="8"/>
  <c r="T182" i="8"/>
  <c r="T197" i="8"/>
  <c r="T198" i="8" s="1"/>
  <c r="U83" i="18"/>
  <c r="U84" i="18"/>
  <c r="X19" i="8"/>
  <c r="W10" i="8"/>
  <c r="T63" i="5"/>
  <c r="U6" i="5"/>
  <c r="W16" i="8"/>
  <c r="T334" i="8"/>
  <c r="S327" i="8"/>
  <c r="R290" i="8"/>
  <c r="X8" i="8"/>
  <c r="U136" i="5"/>
  <c r="U131" i="5"/>
  <c r="U237" i="8"/>
  <c r="U288" i="8"/>
  <c r="W75" i="8"/>
  <c r="V117" i="8"/>
  <c r="V168" i="8" s="1"/>
  <c r="AG52" i="5"/>
  <c r="AH49" i="5"/>
  <c r="T117" i="5"/>
  <c r="Z8" i="17"/>
  <c r="X75" i="18" s="1"/>
  <c r="V25" i="5"/>
  <c r="V27" i="5"/>
  <c r="V23" i="5"/>
  <c r="V21" i="5"/>
  <c r="T32" i="7"/>
  <c r="U8" i="7"/>
  <c r="U11" i="7"/>
  <c r="Z10" i="17"/>
  <c r="X77" i="18" s="1"/>
  <c r="U138" i="5"/>
  <c r="U332" i="8"/>
  <c r="W13" i="8"/>
  <c r="U139" i="5"/>
  <c r="AF44" i="5"/>
  <c r="AE47" i="5"/>
  <c r="U18" i="7"/>
  <c r="U31" i="7"/>
  <c r="T104" i="5"/>
  <c r="W24" i="8"/>
  <c r="U144" i="5"/>
  <c r="U337" i="8"/>
  <c r="R119" i="8"/>
  <c r="U205" i="8"/>
  <c r="U20" i="2" s="1"/>
  <c r="U305" i="8"/>
  <c r="U137" i="5"/>
  <c r="U331" i="8"/>
  <c r="U112" i="5"/>
  <c r="U135" i="5"/>
  <c r="U330" i="8"/>
  <c r="U130" i="5"/>
  <c r="U333" i="8"/>
  <c r="U133" i="5"/>
  <c r="T86" i="5"/>
  <c r="U147" i="5"/>
  <c r="T328" i="8"/>
  <c r="U336" i="8"/>
  <c r="W67" i="18"/>
  <c r="X2" i="18"/>
  <c r="X82" i="18" s="1"/>
  <c r="W3" i="18"/>
  <c r="W4" i="18"/>
  <c r="T35" i="7"/>
  <c r="U142" i="5"/>
  <c r="U335" i="8"/>
  <c r="V9" i="5"/>
  <c r="V17" i="5"/>
  <c r="V11" i="5"/>
  <c r="V16" i="5"/>
  <c r="V15" i="5"/>
  <c r="V10" i="5"/>
  <c r="V8" i="5"/>
  <c r="V14" i="5"/>
  <c r="V18" i="5"/>
  <c r="V12" i="5"/>
  <c r="J133" i="8"/>
  <c r="I348" i="8"/>
  <c r="P131" i="8"/>
  <c r="K121" i="8"/>
  <c r="J349" i="8"/>
  <c r="V7" i="7"/>
  <c r="W6" i="7"/>
  <c r="U129" i="5"/>
  <c r="U99" i="5"/>
  <c r="U329" i="8"/>
  <c r="T44" i="2"/>
  <c r="U132" i="5"/>
  <c r="U145" i="5" l="1"/>
  <c r="U76" i="5"/>
  <c r="F37" i="5"/>
  <c r="F38" i="5" s="1"/>
  <c r="F39" i="5" s="1"/>
  <c r="V81" i="5"/>
  <c r="R55" i="2"/>
  <c r="V70" i="5"/>
  <c r="W9" i="23"/>
  <c r="T29" i="5"/>
  <c r="T150" i="5" s="1"/>
  <c r="T39" i="8"/>
  <c r="T40" i="8" s="1"/>
  <c r="U38" i="8" s="1"/>
  <c r="T100" i="5"/>
  <c r="T43" i="5"/>
  <c r="T56" i="5" s="1"/>
  <c r="U20" i="5"/>
  <c r="U141" i="5" s="1"/>
  <c r="V77" i="5"/>
  <c r="U48" i="8"/>
  <c r="T52" i="8"/>
  <c r="U50" i="8" s="1"/>
  <c r="U51" i="8" s="1"/>
  <c r="W55" i="18"/>
  <c r="V56" i="8" s="1"/>
  <c r="W56" i="18"/>
  <c r="V62" i="8" s="1"/>
  <c r="W42" i="18"/>
  <c r="W40" i="18"/>
  <c r="V36" i="8" s="1"/>
  <c r="W57" i="18"/>
  <c r="V68" i="8" s="1"/>
  <c r="W41" i="18"/>
  <c r="W9" i="8"/>
  <c r="V64" i="5"/>
  <c r="S31" i="5"/>
  <c r="S30" i="5"/>
  <c r="S32" i="5"/>
  <c r="V13" i="5"/>
  <c r="W80" i="5"/>
  <c r="W84" i="5"/>
  <c r="W78" i="5"/>
  <c r="W79" i="5" s="1"/>
  <c r="W82" i="5"/>
  <c r="W83" i="5" s="1"/>
  <c r="W69" i="5"/>
  <c r="W72" i="5"/>
  <c r="W73" i="5"/>
  <c r="W71" i="5"/>
  <c r="W74" i="5"/>
  <c r="W75" i="5"/>
  <c r="W65" i="5"/>
  <c r="W68" i="5"/>
  <c r="W66" i="5"/>
  <c r="W67" i="5"/>
  <c r="V76" i="5"/>
  <c r="T206" i="8"/>
  <c r="T18" i="2" s="1"/>
  <c r="T42" i="2" s="1"/>
  <c r="X15" i="23"/>
  <c r="X14" i="23" s="1"/>
  <c r="S61" i="2"/>
  <c r="S60" i="2" s="1"/>
  <c r="R33" i="5"/>
  <c r="R60" i="2"/>
  <c r="U42" i="8"/>
  <c r="T46" i="8"/>
  <c r="U44" i="8" s="1"/>
  <c r="U45" i="8" s="1"/>
  <c r="Y12" i="23"/>
  <c r="T58" i="2"/>
  <c r="V26" i="5"/>
  <c r="V24" i="5" s="1"/>
  <c r="U28" i="5"/>
  <c r="U149" i="5" s="1"/>
  <c r="Y11" i="23"/>
  <c r="T57" i="2"/>
  <c r="V7" i="5"/>
  <c r="T223" i="8"/>
  <c r="V22" i="5"/>
  <c r="V20" i="5" s="1"/>
  <c r="X11" i="23"/>
  <c r="S57" i="2"/>
  <c r="X10" i="23"/>
  <c r="S56" i="2"/>
  <c r="S55" i="2" s="1"/>
  <c r="Y13" i="23"/>
  <c r="T59" i="2"/>
  <c r="U19" i="5"/>
  <c r="U63" i="2"/>
  <c r="Z17" i="23"/>
  <c r="J10" i="6"/>
  <c r="J11" i="6" s="1"/>
  <c r="G113" i="5"/>
  <c r="G114" i="5"/>
  <c r="G48" i="5"/>
  <c r="H58" i="8"/>
  <c r="H103" i="8"/>
  <c r="Q88" i="8"/>
  <c r="Q89" i="8" s="1"/>
  <c r="R87" i="8" s="1"/>
  <c r="R101" i="5" s="1"/>
  <c r="R125" i="8"/>
  <c r="P350" i="8"/>
  <c r="Q127" i="8"/>
  <c r="Q128" i="8" s="1"/>
  <c r="Q129" i="8" s="1"/>
  <c r="S82" i="8"/>
  <c r="S83" i="8" s="1"/>
  <c r="T81" i="8" s="1"/>
  <c r="U109" i="8"/>
  <c r="V107" i="8" s="1"/>
  <c r="V108" i="8" s="1"/>
  <c r="X25" i="8"/>
  <c r="S239" i="8"/>
  <c r="S241" i="8" s="1"/>
  <c r="S22" i="21"/>
  <c r="S24" i="21" s="1"/>
  <c r="W5" i="8"/>
  <c r="V4" i="21"/>
  <c r="X14" i="8"/>
  <c r="R15" i="2"/>
  <c r="W26" i="8"/>
  <c r="X26" i="8" s="1"/>
  <c r="W20" i="8"/>
  <c r="V17" i="8"/>
  <c r="W11" i="8"/>
  <c r="X11" i="8" s="1"/>
  <c r="U95" i="8"/>
  <c r="V93" i="8" s="1"/>
  <c r="V94" i="8" s="1"/>
  <c r="X16" i="8"/>
  <c r="S14" i="2"/>
  <c r="S38" i="2" s="1"/>
  <c r="S39" i="2" s="1"/>
  <c r="S224" i="8"/>
  <c r="P114" i="8"/>
  <c r="P115" i="8" s="1"/>
  <c r="Q113" i="8" s="1"/>
  <c r="Q114" i="8" s="1"/>
  <c r="Q115" i="8" s="1"/>
  <c r="S290" i="8"/>
  <c r="U154" i="8"/>
  <c r="U155" i="8"/>
  <c r="U191" i="8"/>
  <c r="Z12" i="17"/>
  <c r="X79" i="18" s="1"/>
  <c r="T183" i="8"/>
  <c r="T199" i="8"/>
  <c r="U197" i="8"/>
  <c r="U198" i="8" s="1"/>
  <c r="U182" i="8"/>
  <c r="U180" i="8"/>
  <c r="U194" i="8"/>
  <c r="U195" i="8"/>
  <c r="V190" i="8"/>
  <c r="V195" i="8"/>
  <c r="V83" i="18"/>
  <c r="V84" i="18"/>
  <c r="T327" i="8"/>
  <c r="Y8" i="8"/>
  <c r="X10" i="8"/>
  <c r="X21" i="8"/>
  <c r="X27" i="8"/>
  <c r="V6" i="5"/>
  <c r="U63" i="5"/>
  <c r="U334" i="8"/>
  <c r="Y19" i="8"/>
  <c r="V148" i="5"/>
  <c r="AH52" i="5"/>
  <c r="AI49" i="5"/>
  <c r="V288" i="8"/>
  <c r="V237" i="8"/>
  <c r="V139" i="5"/>
  <c r="V131" i="5"/>
  <c r="V132" i="5"/>
  <c r="X75" i="8"/>
  <c r="W117" i="8"/>
  <c r="W168" i="8" s="1"/>
  <c r="U117" i="5"/>
  <c r="AA8" i="17"/>
  <c r="Y75" i="18" s="1"/>
  <c r="V31" i="7"/>
  <c r="V18" i="7"/>
  <c r="Q131" i="8"/>
  <c r="V330" i="8"/>
  <c r="V130" i="5"/>
  <c r="X4" i="18"/>
  <c r="X3" i="18"/>
  <c r="Y2" i="18"/>
  <c r="Y82" i="18" s="1"/>
  <c r="X67" i="18"/>
  <c r="U44" i="2"/>
  <c r="X24" i="8"/>
  <c r="W21" i="5"/>
  <c r="W23" i="5"/>
  <c r="W27" i="5"/>
  <c r="W25" i="5"/>
  <c r="U35" i="7"/>
  <c r="V143" i="5"/>
  <c r="V336" i="8"/>
  <c r="U328" i="8"/>
  <c r="V136" i="5"/>
  <c r="U86" i="5"/>
  <c r="V146" i="5"/>
  <c r="V142" i="5"/>
  <c r="V335" i="8"/>
  <c r="X6" i="7"/>
  <c r="W7" i="7"/>
  <c r="V112" i="5"/>
  <c r="V135" i="5"/>
  <c r="V129" i="5"/>
  <c r="V329" i="8"/>
  <c r="V99" i="5"/>
  <c r="V11" i="7"/>
  <c r="V8" i="7"/>
  <c r="AA10" i="17"/>
  <c r="Y77" i="18" s="1"/>
  <c r="U32" i="7"/>
  <c r="V133" i="5"/>
  <c r="V333" i="8"/>
  <c r="V205" i="8"/>
  <c r="V20" i="2" s="1"/>
  <c r="V305" i="8"/>
  <c r="U104" i="5"/>
  <c r="K122" i="8"/>
  <c r="K123" i="8" s="1"/>
  <c r="J134" i="8"/>
  <c r="J135" i="8" s="1"/>
  <c r="J351" i="8" s="1"/>
  <c r="J34" i="2"/>
  <c r="J340" i="8"/>
  <c r="J10" i="2" s="1"/>
  <c r="V332" i="8"/>
  <c r="V138" i="5"/>
  <c r="V137" i="5"/>
  <c r="V331" i="8"/>
  <c r="S119" i="8"/>
  <c r="AF47" i="5"/>
  <c r="AG44" i="5"/>
  <c r="V144" i="5"/>
  <c r="V337" i="8"/>
  <c r="W9" i="5"/>
  <c r="W17" i="5"/>
  <c r="W8" i="5"/>
  <c r="W10" i="5"/>
  <c r="W15" i="5"/>
  <c r="W18" i="5"/>
  <c r="W16" i="5"/>
  <c r="W12" i="5"/>
  <c r="W11" i="5"/>
  <c r="W14" i="5"/>
  <c r="X13" i="8"/>
  <c r="X15" i="8" l="1"/>
  <c r="Y15" i="8" s="1"/>
  <c r="Y14" i="8"/>
  <c r="U140" i="5"/>
  <c r="V145" i="5"/>
  <c r="V134" i="5"/>
  <c r="V85" i="5"/>
  <c r="W77" i="5"/>
  <c r="V147" i="5"/>
  <c r="W64" i="5"/>
  <c r="V42" i="8"/>
  <c r="U46" i="8"/>
  <c r="V44" i="8" s="1"/>
  <c r="V45" i="8" s="1"/>
  <c r="S33" i="5"/>
  <c r="V48" i="8"/>
  <c r="U52" i="8"/>
  <c r="V50" i="8" s="1"/>
  <c r="V51" i="8" s="1"/>
  <c r="X69" i="5"/>
  <c r="X75" i="5"/>
  <c r="X71" i="5"/>
  <c r="X73" i="5"/>
  <c r="X74" i="5"/>
  <c r="X72" i="5"/>
  <c r="X66" i="5"/>
  <c r="X68" i="5"/>
  <c r="X67" i="5"/>
  <c r="X65" i="5"/>
  <c r="U156" i="8"/>
  <c r="Y16" i="23"/>
  <c r="T62" i="2"/>
  <c r="G59" i="5"/>
  <c r="G34" i="5" s="1"/>
  <c r="U29" i="5"/>
  <c r="U150" i="5" s="1"/>
  <c r="X9" i="23"/>
  <c r="T32" i="5"/>
  <c r="T31" i="5"/>
  <c r="T30" i="5"/>
  <c r="X82" i="5"/>
  <c r="X83" i="5" s="1"/>
  <c r="X80" i="5"/>
  <c r="X84" i="5"/>
  <c r="X78" i="5"/>
  <c r="X79" i="5" s="1"/>
  <c r="X41" i="18"/>
  <c r="X55" i="18"/>
  <c r="W56" i="8" s="1"/>
  <c r="X56" i="18"/>
  <c r="W62" i="8" s="1"/>
  <c r="X42" i="18"/>
  <c r="X40" i="18"/>
  <c r="W36" i="8" s="1"/>
  <c r="X57" i="18"/>
  <c r="W68" i="8" s="1"/>
  <c r="U39" i="8"/>
  <c r="U40" i="8" s="1"/>
  <c r="V38" i="8" s="1"/>
  <c r="U100" i="5"/>
  <c r="U43" i="5"/>
  <c r="U56" i="5" s="1"/>
  <c r="U206" i="8"/>
  <c r="U18" i="2" s="1"/>
  <c r="U42" i="2" s="1"/>
  <c r="Y15" i="23"/>
  <c r="T61" i="2"/>
  <c r="W70" i="5"/>
  <c r="W81" i="5"/>
  <c r="W85" i="5" s="1"/>
  <c r="W7" i="5"/>
  <c r="U223" i="8"/>
  <c r="W26" i="5"/>
  <c r="W24" i="5" s="1"/>
  <c r="V28" i="5"/>
  <c r="V141" i="5"/>
  <c r="V19" i="5"/>
  <c r="V128" i="5"/>
  <c r="Y10" i="23"/>
  <c r="Y9" i="23" s="1"/>
  <c r="T56" i="2"/>
  <c r="T55" i="2" s="1"/>
  <c r="U58" i="2"/>
  <c r="Z12" i="23"/>
  <c r="W13" i="5"/>
  <c r="W22" i="5"/>
  <c r="W20" i="5" s="1"/>
  <c r="V63" i="2"/>
  <c r="AA17" i="23"/>
  <c r="H59" i="8"/>
  <c r="H60" i="8" s="1"/>
  <c r="I101" i="8"/>
  <c r="H64" i="8"/>
  <c r="R127" i="8"/>
  <c r="R128" i="8" s="1"/>
  <c r="R129" i="8" s="1"/>
  <c r="Q350" i="8"/>
  <c r="S125" i="8"/>
  <c r="R88" i="8"/>
  <c r="R89" i="8" s="1"/>
  <c r="S87" i="8" s="1"/>
  <c r="S101" i="5" s="1"/>
  <c r="T82" i="8"/>
  <c r="T83" i="8" s="1"/>
  <c r="U81" i="8" s="1"/>
  <c r="V109" i="8"/>
  <c r="W107" i="8" s="1"/>
  <c r="W108" i="8" s="1"/>
  <c r="W109" i="8" s="1"/>
  <c r="X107" i="8" s="1"/>
  <c r="X108" i="8" s="1"/>
  <c r="R113" i="8"/>
  <c r="R114" i="8" s="1"/>
  <c r="R115" i="8" s="1"/>
  <c r="S113" i="8" s="1"/>
  <c r="S114" i="8" s="1"/>
  <c r="Y25" i="8"/>
  <c r="Z25" i="8" s="1"/>
  <c r="T239" i="8"/>
  <c r="T22" i="21"/>
  <c r="T24" i="21" s="1"/>
  <c r="X5" i="8"/>
  <c r="W4" i="21"/>
  <c r="X20" i="8"/>
  <c r="X9" i="8"/>
  <c r="Y26" i="8"/>
  <c r="Z26" i="8" s="1"/>
  <c r="V95" i="8"/>
  <c r="W93" i="8" s="1"/>
  <c r="W94" i="8" s="1"/>
  <c r="X22" i="8"/>
  <c r="Y22" i="8" s="1"/>
  <c r="W17" i="8"/>
  <c r="Y27" i="8"/>
  <c r="U183" i="8"/>
  <c r="Y11" i="8"/>
  <c r="S15" i="2"/>
  <c r="U196" i="8"/>
  <c r="U199" i="8" s="1"/>
  <c r="U240" i="8" s="1"/>
  <c r="V154" i="8"/>
  <c r="V155" i="8"/>
  <c r="T14" i="2"/>
  <c r="T224" i="8"/>
  <c r="T240" i="8"/>
  <c r="AA12" i="17"/>
  <c r="Y79" i="18" s="1"/>
  <c r="V197" i="8"/>
  <c r="V198" i="8" s="1"/>
  <c r="V182" i="8"/>
  <c r="V194" i="8"/>
  <c r="V196" i="8" s="1"/>
  <c r="V180" i="8"/>
  <c r="V188" i="8"/>
  <c r="V191" i="8" s="1"/>
  <c r="W190" i="8"/>
  <c r="W83" i="18"/>
  <c r="W84" i="18"/>
  <c r="Z19" i="8"/>
  <c r="Y10" i="8"/>
  <c r="Y21" i="8"/>
  <c r="Y13" i="8"/>
  <c r="Y16" i="8"/>
  <c r="W6" i="5"/>
  <c r="V63" i="5"/>
  <c r="U327" i="8"/>
  <c r="T290" i="8"/>
  <c r="Z8" i="8"/>
  <c r="W148" i="5"/>
  <c r="W131" i="5"/>
  <c r="AI52" i="5"/>
  <c r="V86" i="5"/>
  <c r="X117" i="8"/>
  <c r="X168" i="8" s="1"/>
  <c r="Y75" i="8"/>
  <c r="W288" i="8"/>
  <c r="W237" i="8"/>
  <c r="V44" i="2"/>
  <c r="AB10" i="17"/>
  <c r="Z77" i="18" s="1"/>
  <c r="W31" i="7"/>
  <c r="W18" i="7"/>
  <c r="W336" i="8"/>
  <c r="Y24" i="8"/>
  <c r="Y3" i="18"/>
  <c r="Y4" i="18"/>
  <c r="Z2" i="18"/>
  <c r="Z82" i="18" s="1"/>
  <c r="Y67" i="18"/>
  <c r="R131" i="8"/>
  <c r="V328" i="8"/>
  <c r="W329" i="8"/>
  <c r="W129" i="5"/>
  <c r="W99" i="5"/>
  <c r="X25" i="5"/>
  <c r="X23" i="5"/>
  <c r="X21" i="5"/>
  <c r="X27" i="5"/>
  <c r="V35" i="7"/>
  <c r="W8" i="7"/>
  <c r="W11" i="7"/>
  <c r="X8" i="5"/>
  <c r="X16" i="5"/>
  <c r="X9" i="5"/>
  <c r="X17" i="5"/>
  <c r="X15" i="5"/>
  <c r="X12" i="5"/>
  <c r="X14" i="5"/>
  <c r="X11" i="5"/>
  <c r="X10" i="5"/>
  <c r="X18" i="5"/>
  <c r="W135" i="5"/>
  <c r="W112" i="5"/>
  <c r="K349" i="8"/>
  <c r="L121" i="8"/>
  <c r="V32" i="7"/>
  <c r="W337" i="8"/>
  <c r="W144" i="5"/>
  <c r="W205" i="8"/>
  <c r="W20" i="2" s="1"/>
  <c r="W305" i="8"/>
  <c r="W139" i="5"/>
  <c r="W132" i="5"/>
  <c r="W146" i="5"/>
  <c r="W133" i="5"/>
  <c r="W333" i="8"/>
  <c r="AG47" i="5"/>
  <c r="AH44" i="5"/>
  <c r="J348" i="8"/>
  <c r="K133" i="8"/>
  <c r="V117" i="5"/>
  <c r="Y6" i="7"/>
  <c r="X7" i="7"/>
  <c r="W335" i="8"/>
  <c r="W142" i="5"/>
  <c r="W331" i="8"/>
  <c r="W137" i="5"/>
  <c r="W130" i="5"/>
  <c r="W330" i="8"/>
  <c r="W138" i="5"/>
  <c r="W332" i="8"/>
  <c r="T119" i="8"/>
  <c r="V104" i="5"/>
  <c r="AB8" i="17"/>
  <c r="Z75" i="18" s="1"/>
  <c r="W136" i="5"/>
  <c r="V334" i="8"/>
  <c r="W147" i="5" l="1"/>
  <c r="V149" i="5"/>
  <c r="V29" i="5"/>
  <c r="X77" i="5"/>
  <c r="T60" i="2"/>
  <c r="Z13" i="23"/>
  <c r="U59" i="2"/>
  <c r="W145" i="5"/>
  <c r="W76" i="5"/>
  <c r="G35" i="5"/>
  <c r="X81" i="5"/>
  <c r="X85" i="5" s="1"/>
  <c r="G36" i="5"/>
  <c r="T33" i="5"/>
  <c r="U31" i="5"/>
  <c r="U30" i="5"/>
  <c r="U32" i="5"/>
  <c r="W48" i="8"/>
  <c r="V52" i="8"/>
  <c r="W50" i="8" s="1"/>
  <c r="W51" i="8" s="1"/>
  <c r="Y78" i="5"/>
  <c r="Y79" i="5" s="1"/>
  <c r="Y82" i="5"/>
  <c r="Y83" i="5" s="1"/>
  <c r="Y84" i="5"/>
  <c r="Y80" i="5"/>
  <c r="W134" i="5"/>
  <c r="AA13" i="23" s="1"/>
  <c r="Y14" i="23"/>
  <c r="V39" i="8"/>
  <c r="V40" i="8" s="1"/>
  <c r="W38" i="8" s="1"/>
  <c r="V100" i="5"/>
  <c r="V43" i="5"/>
  <c r="V56" i="5" s="1"/>
  <c r="X70" i="5"/>
  <c r="V206" i="8"/>
  <c r="V18" i="2" s="1"/>
  <c r="V42" i="2" s="1"/>
  <c r="Z15" i="23"/>
  <c r="U61" i="2"/>
  <c r="Y69" i="5"/>
  <c r="Y75" i="5"/>
  <c r="Y72" i="5"/>
  <c r="Y73" i="5"/>
  <c r="Y74" i="5"/>
  <c r="Y71" i="5"/>
  <c r="Y66" i="5"/>
  <c r="Y68" i="5"/>
  <c r="Y67" i="5"/>
  <c r="Y65" i="5"/>
  <c r="W143" i="5"/>
  <c r="Y57" i="18"/>
  <c r="X68" i="8" s="1"/>
  <c r="Y41" i="18"/>
  <c r="Y55" i="18"/>
  <c r="X56" i="8" s="1"/>
  <c r="Y56" i="18"/>
  <c r="X62" i="8" s="1"/>
  <c r="Y42" i="18"/>
  <c r="Y40" i="18"/>
  <c r="X36" i="8" s="1"/>
  <c r="V156" i="8"/>
  <c r="Z16" i="23"/>
  <c r="U62" i="2"/>
  <c r="X64" i="5"/>
  <c r="W42" i="8"/>
  <c r="V46" i="8"/>
  <c r="W44" i="8" s="1"/>
  <c r="W45" i="8" s="1"/>
  <c r="W28" i="5"/>
  <c r="W149" i="5" s="1"/>
  <c r="W141" i="5"/>
  <c r="AA12" i="23"/>
  <c r="V58" i="2"/>
  <c r="X22" i="5"/>
  <c r="X20" i="5" s="1"/>
  <c r="X26" i="5"/>
  <c r="X24" i="5" s="1"/>
  <c r="X145" i="5" s="1"/>
  <c r="V223" i="8"/>
  <c r="V150" i="5"/>
  <c r="V59" i="2"/>
  <c r="W19" i="5"/>
  <c r="W128" i="5"/>
  <c r="X13" i="5"/>
  <c r="X7" i="5"/>
  <c r="V140" i="5"/>
  <c r="Z11" i="23"/>
  <c r="U57" i="2"/>
  <c r="Z10" i="23"/>
  <c r="U56" i="2"/>
  <c r="W63" i="2"/>
  <c r="AB17" i="23"/>
  <c r="K10" i="6"/>
  <c r="K11" i="6" s="1"/>
  <c r="H65" i="8"/>
  <c r="H66" i="8" s="1"/>
  <c r="H70" i="8"/>
  <c r="H71" i="8" s="1"/>
  <c r="H72" i="8" s="1"/>
  <c r="I102" i="8"/>
  <c r="S88" i="8"/>
  <c r="S89" i="8" s="1"/>
  <c r="T87" i="8" s="1"/>
  <c r="T101" i="5" s="1"/>
  <c r="T125" i="8"/>
  <c r="S127" i="8"/>
  <c r="S128" i="8" s="1"/>
  <c r="S129" i="8" s="1"/>
  <c r="R350" i="8"/>
  <c r="Z14" i="8"/>
  <c r="U82" i="8"/>
  <c r="U83" i="8" s="1"/>
  <c r="V81" i="8" s="1"/>
  <c r="Y20" i="8"/>
  <c r="X17" i="8"/>
  <c r="T241" i="8"/>
  <c r="U239" i="8"/>
  <c r="U241" i="8" s="1"/>
  <c r="U22" i="21"/>
  <c r="U24" i="21" s="1"/>
  <c r="Y5" i="8"/>
  <c r="X4" i="21"/>
  <c r="Y9" i="8"/>
  <c r="U224" i="8"/>
  <c r="Z15" i="8"/>
  <c r="AA26" i="8" s="1"/>
  <c r="W95" i="8"/>
  <c r="X93" i="8" s="1"/>
  <c r="X94" i="8" s="1"/>
  <c r="Z16" i="8"/>
  <c r="Z21" i="8"/>
  <c r="Z22" i="8"/>
  <c r="Z11" i="8"/>
  <c r="U14" i="2"/>
  <c r="U15" i="2" s="1"/>
  <c r="V199" i="8"/>
  <c r="V14" i="2" s="1"/>
  <c r="AA8" i="8"/>
  <c r="W86" i="5"/>
  <c r="W155" i="8"/>
  <c r="W195" i="8"/>
  <c r="X109" i="8"/>
  <c r="Y107" i="8" s="1"/>
  <c r="Y108" i="8" s="1"/>
  <c r="X190" i="8"/>
  <c r="T15" i="2"/>
  <c r="T38" i="2"/>
  <c r="T39" i="2" s="1"/>
  <c r="AA25" i="8"/>
  <c r="W197" i="8"/>
  <c r="W198" i="8" s="1"/>
  <c r="W182" i="8"/>
  <c r="W188" i="8"/>
  <c r="W191" i="8" s="1"/>
  <c r="W194" i="8"/>
  <c r="W180" i="8"/>
  <c r="W154" i="8"/>
  <c r="V183" i="8"/>
  <c r="AB12" i="17"/>
  <c r="Z79" i="18" s="1"/>
  <c r="X83" i="18"/>
  <c r="X84" i="18"/>
  <c r="Z10" i="8"/>
  <c r="AA14" i="8"/>
  <c r="U290" i="8"/>
  <c r="Z27" i="8"/>
  <c r="X6" i="5"/>
  <c r="W63" i="5"/>
  <c r="AA19" i="8"/>
  <c r="X139" i="5"/>
  <c r="Z13" i="8"/>
  <c r="Y117" i="8"/>
  <c r="Y168" i="8" s="1"/>
  <c r="Z75" i="8"/>
  <c r="X288" i="8"/>
  <c r="X237" i="8"/>
  <c r="W334" i="8"/>
  <c r="X131" i="5"/>
  <c r="X147" i="5"/>
  <c r="W328" i="8"/>
  <c r="AC8" i="17"/>
  <c r="AA75" i="18" s="1"/>
  <c r="U119" i="8"/>
  <c r="W44" i="2"/>
  <c r="X135" i="5"/>
  <c r="X112" i="5"/>
  <c r="W35" i="7"/>
  <c r="W32" i="7"/>
  <c r="S115" i="8"/>
  <c r="T113" i="8" s="1"/>
  <c r="T114" i="8" s="1"/>
  <c r="S131" i="8"/>
  <c r="X11" i="7"/>
  <c r="X8" i="7"/>
  <c r="AC10" i="17"/>
  <c r="AA77" i="18" s="1"/>
  <c r="X148" i="5"/>
  <c r="Y12" i="5"/>
  <c r="Y9" i="5"/>
  <c r="Y18" i="5"/>
  <c r="Y14" i="5"/>
  <c r="Y11" i="5"/>
  <c r="Y16" i="5"/>
  <c r="Y8" i="5"/>
  <c r="Y15" i="5"/>
  <c r="Y10" i="5"/>
  <c r="Y17" i="5"/>
  <c r="L122" i="8"/>
  <c r="L123" i="8" s="1"/>
  <c r="X331" i="8"/>
  <c r="X137" i="5"/>
  <c r="X336" i="8"/>
  <c r="X205" i="8"/>
  <c r="X20" i="2" s="1"/>
  <c r="X305" i="8"/>
  <c r="Z24" i="8"/>
  <c r="Y21" i="5"/>
  <c r="Y23" i="5"/>
  <c r="Y25" i="5"/>
  <c r="Y27" i="5"/>
  <c r="K134" i="8"/>
  <c r="K135" i="8" s="1"/>
  <c r="K351" i="8" s="1"/>
  <c r="K340" i="8"/>
  <c r="K10" i="2" s="1"/>
  <c r="K34" i="2"/>
  <c r="X133" i="5"/>
  <c r="X333" i="8"/>
  <c r="X144" i="5"/>
  <c r="X337" i="8"/>
  <c r="X132" i="5"/>
  <c r="X136" i="5"/>
  <c r="X31" i="7"/>
  <c r="X18" i="7"/>
  <c r="AH47" i="5"/>
  <c r="AI44" i="5"/>
  <c r="X99" i="5"/>
  <c r="X329" i="8"/>
  <c r="X129" i="5"/>
  <c r="Z6" i="7"/>
  <c r="Y7" i="7"/>
  <c r="X138" i="5"/>
  <c r="X332" i="8"/>
  <c r="X130" i="5"/>
  <c r="X330" i="8"/>
  <c r="W104" i="5"/>
  <c r="W117" i="5"/>
  <c r="X142" i="5"/>
  <c r="X335" i="8"/>
  <c r="AA2" i="18"/>
  <c r="AA82" i="18" s="1"/>
  <c r="Z4" i="18"/>
  <c r="Z67" i="18"/>
  <c r="Z3" i="18"/>
  <c r="W29" i="5"/>
  <c r="X146" i="5"/>
  <c r="W140" i="5"/>
  <c r="V327" i="8"/>
  <c r="G37" i="5" l="1"/>
  <c r="G38" i="5" s="1"/>
  <c r="G39" i="5" s="1"/>
  <c r="U60" i="2"/>
  <c r="X143" i="5"/>
  <c r="Y77" i="5"/>
  <c r="U55" i="2"/>
  <c r="X76" i="5"/>
  <c r="Z69" i="5"/>
  <c r="Z72" i="5"/>
  <c r="Z74" i="5"/>
  <c r="Z75" i="5"/>
  <c r="Z73" i="5"/>
  <c r="Z71" i="5"/>
  <c r="Z65" i="5"/>
  <c r="Z67" i="5"/>
  <c r="Z68" i="5"/>
  <c r="Z66" i="5"/>
  <c r="X42" i="8"/>
  <c r="W46" i="8"/>
  <c r="X44" i="8" s="1"/>
  <c r="X45" i="8" s="1"/>
  <c r="Y64" i="5"/>
  <c r="Y70" i="5"/>
  <c r="Z14" i="23"/>
  <c r="V30" i="5"/>
  <c r="V31" i="5"/>
  <c r="V32" i="5"/>
  <c r="Y81" i="5"/>
  <c r="Y85" i="5" s="1"/>
  <c r="X48" i="8"/>
  <c r="W52" i="8"/>
  <c r="X50" i="8" s="1"/>
  <c r="X51" i="8" s="1"/>
  <c r="Z42" i="18"/>
  <c r="Z40" i="18"/>
  <c r="Y36" i="8" s="1"/>
  <c r="Z57" i="18"/>
  <c r="Y68" i="8" s="1"/>
  <c r="Z41" i="18"/>
  <c r="Z55" i="18"/>
  <c r="Y56" i="8" s="1"/>
  <c r="Z56" i="18"/>
  <c r="Y62" i="8" s="1"/>
  <c r="Z78" i="5"/>
  <c r="Z79" i="5" s="1"/>
  <c r="Z80" i="5"/>
  <c r="Z84" i="5"/>
  <c r="Z82" i="5"/>
  <c r="Z83" i="5" s="1"/>
  <c r="Z81" i="5" s="1"/>
  <c r="W206" i="8"/>
  <c r="W18" i="2" s="1"/>
  <c r="W42" i="2" s="1"/>
  <c r="AA15" i="23"/>
  <c r="V61" i="2"/>
  <c r="W156" i="8"/>
  <c r="AA16" i="23"/>
  <c r="V62" i="2"/>
  <c r="Z9" i="8"/>
  <c r="H113" i="5"/>
  <c r="Z9" i="23"/>
  <c r="X134" i="5"/>
  <c r="W59" i="2" s="1"/>
  <c r="W39" i="8"/>
  <c r="W40" i="8" s="1"/>
  <c r="X38" i="8" s="1"/>
  <c r="W43" i="5"/>
  <c r="W56" i="5" s="1"/>
  <c r="W100" i="5"/>
  <c r="U33" i="5"/>
  <c r="X28" i="5"/>
  <c r="X149" i="5" s="1"/>
  <c r="X141" i="5"/>
  <c r="W58" i="2"/>
  <c r="AB12" i="23"/>
  <c r="Y13" i="5"/>
  <c r="Y134" i="5" s="1"/>
  <c r="W223" i="8"/>
  <c r="W150" i="5"/>
  <c r="AB13" i="23"/>
  <c r="Y26" i="5"/>
  <c r="Y24" i="5" s="1"/>
  <c r="Y22" i="5"/>
  <c r="Y20" i="5" s="1"/>
  <c r="Y7" i="5"/>
  <c r="X19" i="5"/>
  <c r="X29" i="5" s="1"/>
  <c r="X128" i="5"/>
  <c r="AA11" i="23"/>
  <c r="V57" i="2"/>
  <c r="AA10" i="23"/>
  <c r="V56" i="2"/>
  <c r="X63" i="2"/>
  <c r="AC17" i="23"/>
  <c r="V82" i="8"/>
  <c r="V83" i="8" s="1"/>
  <c r="W81" i="8" s="1"/>
  <c r="H48" i="5"/>
  <c r="H114" i="5"/>
  <c r="I58" i="8"/>
  <c r="I103" i="8"/>
  <c r="U125" i="8"/>
  <c r="S350" i="8"/>
  <c r="T127" i="8"/>
  <c r="T128" i="8" s="1"/>
  <c r="T129" i="8" s="1"/>
  <c r="T88" i="8"/>
  <c r="T89" i="8" s="1"/>
  <c r="U87" i="8" s="1"/>
  <c r="U101" i="5" s="1"/>
  <c r="Y17" i="8"/>
  <c r="Z20" i="8"/>
  <c r="V290" i="8"/>
  <c r="V22" i="21"/>
  <c r="V24" i="21" s="1"/>
  <c r="Z5" i="8"/>
  <c r="Y4" i="21"/>
  <c r="AA15" i="8"/>
  <c r="AB15" i="8" s="1"/>
  <c r="X95" i="8"/>
  <c r="Y93" i="8" s="1"/>
  <c r="Y94" i="8" s="1"/>
  <c r="AA27" i="8"/>
  <c r="U38" i="2"/>
  <c r="U39" i="2" s="1"/>
  <c r="AA21" i="8"/>
  <c r="AB14" i="8"/>
  <c r="AA11" i="8"/>
  <c r="AA22" i="8"/>
  <c r="AB19" i="8"/>
  <c r="V240" i="8"/>
  <c r="V224" i="8"/>
  <c r="W183" i="8"/>
  <c r="W196" i="8"/>
  <c r="W199" i="8" s="1"/>
  <c r="W224" i="8" s="1"/>
  <c r="AB25" i="8"/>
  <c r="AC12" i="17"/>
  <c r="AA79" i="18" s="1"/>
  <c r="X154" i="8"/>
  <c r="X188" i="8"/>
  <c r="X191" i="8" s="1"/>
  <c r="X195" i="8"/>
  <c r="V38" i="2"/>
  <c r="V39" i="2" s="1"/>
  <c r="V15" i="2"/>
  <c r="Y190" i="8"/>
  <c r="Y109" i="8"/>
  <c r="Z107" i="8" s="1"/>
  <c r="Z108" i="8" s="1"/>
  <c r="Y195" i="8"/>
  <c r="X194" i="8"/>
  <c r="X180" i="8"/>
  <c r="X197" i="8"/>
  <c r="X198" i="8" s="1"/>
  <c r="X182" i="8"/>
  <c r="X155" i="8"/>
  <c r="Y83" i="18"/>
  <c r="Y84" i="18"/>
  <c r="AA10" i="8"/>
  <c r="Y132" i="5"/>
  <c r="AA16" i="8"/>
  <c r="X63" i="5"/>
  <c r="Y6" i="5"/>
  <c r="V239" i="8"/>
  <c r="AB8" i="8"/>
  <c r="Y136" i="5"/>
  <c r="Y147" i="5"/>
  <c r="X334" i="8"/>
  <c r="Y148" i="5"/>
  <c r="AA13" i="8"/>
  <c r="Y288" i="8"/>
  <c r="Y237" i="8"/>
  <c r="Z117" i="8"/>
  <c r="Z168" i="8" s="1"/>
  <c r="AA75" i="8"/>
  <c r="W327" i="8"/>
  <c r="Y143" i="5"/>
  <c r="Y336" i="8"/>
  <c r="X117" i="5"/>
  <c r="AD8" i="17"/>
  <c r="AB75" i="18" s="1"/>
  <c r="Y144" i="5"/>
  <c r="Y337" i="8"/>
  <c r="X44" i="2"/>
  <c r="Y333" i="8"/>
  <c r="Y133" i="5"/>
  <c r="X32" i="7"/>
  <c r="Y205" i="8"/>
  <c r="Y20" i="2" s="1"/>
  <c r="Y305" i="8"/>
  <c r="Z7" i="7"/>
  <c r="AA6" i="7"/>
  <c r="AI47" i="5"/>
  <c r="AA20" i="8"/>
  <c r="Y138" i="5"/>
  <c r="Y332" i="8"/>
  <c r="Y330" i="8"/>
  <c r="Y130" i="5"/>
  <c r="Y129" i="5"/>
  <c r="Y329" i="8"/>
  <c r="Y99" i="5"/>
  <c r="AD10" i="17"/>
  <c r="AB77" i="18" s="1"/>
  <c r="Z16" i="5"/>
  <c r="Z11" i="5"/>
  <c r="Z8" i="5"/>
  <c r="Z9" i="5"/>
  <c r="Z15" i="5"/>
  <c r="Z12" i="5"/>
  <c r="Z17" i="5"/>
  <c r="Z18" i="5"/>
  <c r="Z14" i="5"/>
  <c r="Z10" i="5"/>
  <c r="AB2" i="18"/>
  <c r="AB82" i="18" s="1"/>
  <c r="AA4" i="18"/>
  <c r="AA3" i="18"/>
  <c r="AA67" i="18"/>
  <c r="Y142" i="5"/>
  <c r="Y335" i="8"/>
  <c r="Y135" i="5"/>
  <c r="Y112" i="5"/>
  <c r="Y137" i="5"/>
  <c r="Y331" i="8"/>
  <c r="Z17" i="8"/>
  <c r="X104" i="5"/>
  <c r="V119" i="8"/>
  <c r="Y8" i="7"/>
  <c r="Y11" i="7"/>
  <c r="Y18" i="7"/>
  <c r="Y31" i="7"/>
  <c r="K348" i="8"/>
  <c r="L133" i="8"/>
  <c r="AA24" i="8"/>
  <c r="M121" i="8"/>
  <c r="L349" i="8"/>
  <c r="Z23" i="5"/>
  <c r="Z27" i="5"/>
  <c r="Z21" i="5"/>
  <c r="Z25" i="5"/>
  <c r="X35" i="7"/>
  <c r="T115" i="8"/>
  <c r="U113" i="8" s="1"/>
  <c r="U114" i="8" s="1"/>
  <c r="T131" i="8"/>
  <c r="X86" i="5"/>
  <c r="X328" i="8"/>
  <c r="Y146" i="5"/>
  <c r="Y131" i="5"/>
  <c r="Y139" i="5"/>
  <c r="Y145" i="5" l="1"/>
  <c r="Z77" i="5"/>
  <c r="Z85" i="5" s="1"/>
  <c r="X140" i="5"/>
  <c r="V33" i="5"/>
  <c r="AA9" i="23"/>
  <c r="Y76" i="5"/>
  <c r="Y86" i="5" s="1"/>
  <c r="X39" i="8"/>
  <c r="X40" i="8" s="1"/>
  <c r="Y38" i="8" s="1"/>
  <c r="X43" i="5"/>
  <c r="X56" i="5" s="1"/>
  <c r="X100" i="5"/>
  <c r="V60" i="2"/>
  <c r="Y42" i="8"/>
  <c r="X46" i="8"/>
  <c r="Y44" i="8" s="1"/>
  <c r="Y45" i="8" s="1"/>
  <c r="Z64" i="5"/>
  <c r="AA84" i="5"/>
  <c r="AA78" i="5"/>
  <c r="AA79" i="5" s="1"/>
  <c r="AA82" i="5"/>
  <c r="AA83" i="5" s="1"/>
  <c r="AA80" i="5"/>
  <c r="H59" i="5"/>
  <c r="H36" i="5" s="1"/>
  <c r="W32" i="5"/>
  <c r="W31" i="5"/>
  <c r="W30" i="5"/>
  <c r="Y48" i="8"/>
  <c r="X52" i="8"/>
  <c r="Y50" i="8" s="1"/>
  <c r="Y51" i="8" s="1"/>
  <c r="X156" i="8"/>
  <c r="AB16" i="23"/>
  <c r="W62" i="2"/>
  <c r="X206" i="8"/>
  <c r="X18" i="2" s="1"/>
  <c r="X42" i="2" s="1"/>
  <c r="AB15" i="23"/>
  <c r="AB14" i="23" s="1"/>
  <c r="W61" i="2"/>
  <c r="V55" i="2"/>
  <c r="AA14" i="23"/>
  <c r="Z70" i="5"/>
  <c r="Z76" i="5" s="1"/>
  <c r="AA69" i="5"/>
  <c r="AA72" i="5"/>
  <c r="AA71" i="5"/>
  <c r="AA75" i="5"/>
  <c r="AA74" i="5"/>
  <c r="AA73" i="5"/>
  <c r="AA67" i="5"/>
  <c r="AA65" i="5"/>
  <c r="AA68" i="5"/>
  <c r="AA66" i="5"/>
  <c r="AA55" i="18"/>
  <c r="Z56" i="8" s="1"/>
  <c r="AA56" i="18"/>
  <c r="Z62" i="8" s="1"/>
  <c r="AA42" i="18"/>
  <c r="AA40" i="18"/>
  <c r="Z36" i="8" s="1"/>
  <c r="AA57" i="18"/>
  <c r="Z68" i="8" s="1"/>
  <c r="AA41" i="18"/>
  <c r="Z26" i="5"/>
  <c r="Z24" i="5" s="1"/>
  <c r="Z145" i="5" s="1"/>
  <c r="Y19" i="5"/>
  <c r="Y140" i="5" s="1"/>
  <c r="Y128" i="5"/>
  <c r="Y28" i="5"/>
  <c r="Y149" i="5" s="1"/>
  <c r="Y141" i="5"/>
  <c r="AC12" i="23"/>
  <c r="X58" i="2"/>
  <c r="AC13" i="23"/>
  <c r="X59" i="2"/>
  <c r="X223" i="8"/>
  <c r="X150" i="5"/>
  <c r="Z22" i="5"/>
  <c r="Z20" i="5" s="1"/>
  <c r="Z13" i="5"/>
  <c r="Z7" i="5"/>
  <c r="AB11" i="23"/>
  <c r="W57" i="2"/>
  <c r="AB10" i="23"/>
  <c r="W56" i="2"/>
  <c r="W55" i="2" s="1"/>
  <c r="Y63" i="2"/>
  <c r="AD17" i="23"/>
  <c r="W82" i="8"/>
  <c r="W83" i="8" s="1"/>
  <c r="X81" i="8" s="1"/>
  <c r="L10" i="6"/>
  <c r="L11" i="6" s="1"/>
  <c r="I59" i="8"/>
  <c r="I60" i="8" s="1"/>
  <c r="I64" i="8"/>
  <c r="I65" i="8" s="1"/>
  <c r="I66" i="8" s="1"/>
  <c r="J101" i="8"/>
  <c r="U88" i="8"/>
  <c r="U89" i="8" s="1"/>
  <c r="V87" i="8" s="1"/>
  <c r="V101" i="5" s="1"/>
  <c r="T350" i="8"/>
  <c r="U127" i="8"/>
  <c r="U128" i="8" s="1"/>
  <c r="U129" i="8" s="1"/>
  <c r="V125" i="8"/>
  <c r="X196" i="8"/>
  <c r="X199" i="8" s="1"/>
  <c r="AA9" i="8"/>
  <c r="AB9" i="8" s="1"/>
  <c r="W290" i="8"/>
  <c r="W22" i="21"/>
  <c r="W24" i="21" s="1"/>
  <c r="AA5" i="8"/>
  <c r="Z4" i="21"/>
  <c r="W239" i="8"/>
  <c r="AB26" i="8"/>
  <c r="AC26" i="8" s="1"/>
  <c r="Y95" i="8"/>
  <c r="Z93" i="8" s="1"/>
  <c r="Z94" i="8" s="1"/>
  <c r="AB16" i="8"/>
  <c r="AB10" i="8"/>
  <c r="AC25" i="8"/>
  <c r="AB22" i="8"/>
  <c r="AB11" i="8"/>
  <c r="AC8" i="8"/>
  <c r="AC14" i="8"/>
  <c r="V241" i="8"/>
  <c r="X183" i="8"/>
  <c r="W240" i="8"/>
  <c r="W14" i="2"/>
  <c r="W15" i="2" s="1"/>
  <c r="AB21" i="8"/>
  <c r="Y188" i="8"/>
  <c r="Y191" i="8" s="1"/>
  <c r="Y155" i="8"/>
  <c r="Y197" i="8"/>
  <c r="Y198" i="8" s="1"/>
  <c r="Y182" i="8"/>
  <c r="AD12" i="17"/>
  <c r="AB79" i="18" s="1"/>
  <c r="Y194" i="8"/>
  <c r="Y196" i="8" s="1"/>
  <c r="Y180" i="8"/>
  <c r="Y154" i="8"/>
  <c r="Z195" i="8"/>
  <c r="Z109" i="8"/>
  <c r="AA107" i="8" s="1"/>
  <c r="AA108" i="8" s="1"/>
  <c r="Z155" i="8"/>
  <c r="Z190" i="8"/>
  <c r="Z188" i="8"/>
  <c r="Z83" i="18"/>
  <c r="Z84" i="18"/>
  <c r="AB27" i="8"/>
  <c r="AC19" i="8"/>
  <c r="Z6" i="5"/>
  <c r="Y63" i="5"/>
  <c r="X327" i="8"/>
  <c r="Y334" i="8"/>
  <c r="AB13" i="8"/>
  <c r="Z136" i="5"/>
  <c r="AA117" i="8"/>
  <c r="AA168" i="8" s="1"/>
  <c r="AB75" i="8"/>
  <c r="Z148" i="5"/>
  <c r="Z237" i="8"/>
  <c r="Z288" i="8"/>
  <c r="Z144" i="5"/>
  <c r="Z337" i="8"/>
  <c r="M122" i="8"/>
  <c r="M123" i="8" s="1"/>
  <c r="L134" i="8"/>
  <c r="L135" i="8" s="1"/>
  <c r="L351" i="8" s="1"/>
  <c r="L34" i="2"/>
  <c r="L340" i="8"/>
  <c r="L10" i="2" s="1"/>
  <c r="W119" i="8"/>
  <c r="Z205" i="8"/>
  <c r="Z20" i="2" s="1"/>
  <c r="Z305" i="8"/>
  <c r="Z31" i="7"/>
  <c r="Z18" i="7"/>
  <c r="AE8" i="17"/>
  <c r="AC75" i="18" s="1"/>
  <c r="Z131" i="5"/>
  <c r="U115" i="8"/>
  <c r="V113" i="8" s="1"/>
  <c r="V114" i="8" s="1"/>
  <c r="U131" i="8"/>
  <c r="Z142" i="5"/>
  <c r="Z335" i="8"/>
  <c r="Y117" i="5"/>
  <c r="AC2" i="18"/>
  <c r="AC82" i="18" s="1"/>
  <c r="AB3" i="18"/>
  <c r="AB4" i="18"/>
  <c r="AB67" i="18"/>
  <c r="Z329" i="8"/>
  <c r="Z129" i="5"/>
  <c r="Z99" i="5"/>
  <c r="Z330" i="8"/>
  <c r="Z130" i="5"/>
  <c r="Z332" i="8"/>
  <c r="Z138" i="5"/>
  <c r="AA23" i="5"/>
  <c r="AA21" i="5"/>
  <c r="AA25" i="5"/>
  <c r="AA27" i="5"/>
  <c r="AB6" i="7"/>
  <c r="AA7" i="7"/>
  <c r="Z336" i="8"/>
  <c r="AB24" i="8"/>
  <c r="Y35" i="7"/>
  <c r="Y104" i="5"/>
  <c r="Z137" i="5"/>
  <c r="Z331" i="8"/>
  <c r="AE10" i="17"/>
  <c r="AC77" i="18" s="1"/>
  <c r="AB20" i="8"/>
  <c r="Z146" i="5"/>
  <c r="Z139" i="5"/>
  <c r="Y32" i="7"/>
  <c r="Z11" i="7"/>
  <c r="Z8" i="7"/>
  <c r="Z333" i="8"/>
  <c r="Z133" i="5"/>
  <c r="Z135" i="5"/>
  <c r="Z112" i="5"/>
  <c r="Y44" i="2"/>
  <c r="AA8" i="5"/>
  <c r="AA9" i="5"/>
  <c r="AA16" i="5"/>
  <c r="AA18" i="5"/>
  <c r="AA10" i="5"/>
  <c r="AA12" i="5"/>
  <c r="AA14" i="5"/>
  <c r="AA17" i="5"/>
  <c r="AA11" i="5"/>
  <c r="AA15" i="5"/>
  <c r="Z132" i="5"/>
  <c r="Y328" i="8"/>
  <c r="AA81" i="5" l="1"/>
  <c r="AB9" i="23"/>
  <c r="AA77" i="5"/>
  <c r="AA85" i="5" s="1"/>
  <c r="Z143" i="5"/>
  <c r="Z134" i="5"/>
  <c r="Y29" i="5"/>
  <c r="H35" i="5"/>
  <c r="AA70" i="5"/>
  <c r="Y156" i="8"/>
  <c r="AC16" i="23"/>
  <c r="X62" i="2"/>
  <c r="Z48" i="8"/>
  <c r="Y52" i="8"/>
  <c r="Z50" i="8" s="1"/>
  <c r="Z51" i="8" s="1"/>
  <c r="Z42" i="8"/>
  <c r="Y46" i="8"/>
  <c r="Z44" i="8" s="1"/>
  <c r="Z45" i="8" s="1"/>
  <c r="Y39" i="8"/>
  <c r="Y40" i="8" s="1"/>
  <c r="Z38" i="8" s="1"/>
  <c r="Y43" i="5"/>
  <c r="Y56" i="5" s="1"/>
  <c r="Y100" i="5"/>
  <c r="AB80" i="5"/>
  <c r="AB84" i="5"/>
  <c r="AB78" i="5"/>
  <c r="AB79" i="5" s="1"/>
  <c r="AB77" i="5" s="1"/>
  <c r="AB82" i="5"/>
  <c r="AB83" i="5" s="1"/>
  <c r="AB69" i="5"/>
  <c r="AB71" i="5"/>
  <c r="AB75" i="5"/>
  <c r="AB73" i="5"/>
  <c r="AB74" i="5"/>
  <c r="AB72" i="5"/>
  <c r="AB66" i="5"/>
  <c r="AB67" i="5"/>
  <c r="AB65" i="5"/>
  <c r="AB68" i="5"/>
  <c r="Y206" i="8"/>
  <c r="Y18" i="2" s="1"/>
  <c r="Y42" i="2" s="1"/>
  <c r="AC15" i="23"/>
  <c r="AC14" i="23" s="1"/>
  <c r="X61" i="2"/>
  <c r="AB41" i="18"/>
  <c r="AB55" i="18"/>
  <c r="AA56" i="8" s="1"/>
  <c r="AB56" i="18"/>
  <c r="AA62" i="8" s="1"/>
  <c r="AB40" i="18"/>
  <c r="AA36" i="8" s="1"/>
  <c r="AB42" i="18"/>
  <c r="AB57" i="18"/>
  <c r="AA68" i="8" s="1"/>
  <c r="W60" i="2"/>
  <c r="W33" i="5"/>
  <c r="H34" i="5"/>
  <c r="X30" i="5"/>
  <c r="X32" i="5"/>
  <c r="X31" i="5"/>
  <c r="Z156" i="8"/>
  <c r="AD16" i="23"/>
  <c r="Y62" i="2"/>
  <c r="AA64" i="5"/>
  <c r="AA76" i="5" s="1"/>
  <c r="Y58" i="2"/>
  <c r="AD12" i="23"/>
  <c r="AA26" i="5"/>
  <c r="AA24" i="5" s="1"/>
  <c r="AA145" i="5" s="1"/>
  <c r="AD13" i="23"/>
  <c r="Y59" i="2"/>
  <c r="Z28" i="5"/>
  <c r="Z149" i="5" s="1"/>
  <c r="Z141" i="5"/>
  <c r="AA13" i="5"/>
  <c r="AA7" i="5"/>
  <c r="Y223" i="8"/>
  <c r="Y150" i="5"/>
  <c r="AA22" i="5"/>
  <c r="AA143" i="5" s="1"/>
  <c r="Z147" i="5"/>
  <c r="Z19" i="5"/>
  <c r="Z29" i="5" s="1"/>
  <c r="Z128" i="5"/>
  <c r="AC10" i="23"/>
  <c r="X56" i="2"/>
  <c r="AC11" i="23"/>
  <c r="X57" i="2"/>
  <c r="Z63" i="2"/>
  <c r="AE17" i="23"/>
  <c r="I70" i="8"/>
  <c r="I113" i="5" s="1"/>
  <c r="J102" i="8"/>
  <c r="AA17" i="8"/>
  <c r="V127" i="8"/>
  <c r="V128" i="8" s="1"/>
  <c r="V129" i="8" s="1"/>
  <c r="U350" i="8"/>
  <c r="W125" i="8"/>
  <c r="V88" i="8"/>
  <c r="V89" i="8" s="1"/>
  <c r="W87" i="8" s="1"/>
  <c r="W101" i="5" s="1"/>
  <c r="Z95" i="8"/>
  <c r="AA93" i="8" s="1"/>
  <c r="AA94" i="8" s="1"/>
  <c r="AA95" i="8" s="1"/>
  <c r="AB93" i="8" s="1"/>
  <c r="AB94" i="8" s="1"/>
  <c r="X82" i="8"/>
  <c r="X83" i="8" s="1"/>
  <c r="Y81" i="8" s="1"/>
  <c r="Y82" i="8" s="1"/>
  <c r="Y83" i="8" s="1"/>
  <c r="Z81" i="8" s="1"/>
  <c r="AC10" i="8"/>
  <c r="AB5" i="8"/>
  <c r="AA4" i="21"/>
  <c r="X290" i="8"/>
  <c r="X22" i="21"/>
  <c r="X24" i="21" s="1"/>
  <c r="W241" i="8"/>
  <c r="AC15" i="8"/>
  <c r="AD26" i="8" s="1"/>
  <c r="AC16" i="8"/>
  <c r="Y199" i="8"/>
  <c r="Y240" i="8" s="1"/>
  <c r="W38" i="2"/>
  <c r="W39" i="2" s="1"/>
  <c r="AD14" i="8"/>
  <c r="AD19" i="8"/>
  <c r="AC11" i="8"/>
  <c r="AC22" i="8"/>
  <c r="AD15" i="8"/>
  <c r="AD25" i="8"/>
  <c r="Z191" i="8"/>
  <c r="AC21" i="8"/>
  <c r="Z180" i="8"/>
  <c r="Z194" i="8"/>
  <c r="Z196" i="8" s="1"/>
  <c r="AA190" i="8"/>
  <c r="AA109" i="8"/>
  <c r="AB107" i="8" s="1"/>
  <c r="AB108" i="8" s="1"/>
  <c r="AA195" i="8"/>
  <c r="AA188" i="8"/>
  <c r="Y183" i="8"/>
  <c r="Z197" i="8"/>
  <c r="Z198" i="8" s="1"/>
  <c r="Z182" i="8"/>
  <c r="Z154" i="8"/>
  <c r="X14" i="2"/>
  <c r="X224" i="8"/>
  <c r="X240" i="8"/>
  <c r="AE12" i="17"/>
  <c r="AC79" i="18" s="1"/>
  <c r="AA83" i="18"/>
  <c r="AA84" i="18"/>
  <c r="AD8" i="8"/>
  <c r="AC27" i="8"/>
  <c r="Z63" i="5"/>
  <c r="AA6" i="5"/>
  <c r="AA148" i="5"/>
  <c r="X239" i="8"/>
  <c r="AC13" i="8"/>
  <c r="Y327" i="8"/>
  <c r="AA132" i="5"/>
  <c r="AA237" i="8"/>
  <c r="AA288" i="8"/>
  <c r="AC75" i="8"/>
  <c r="AB117" i="8"/>
  <c r="AB168" i="8" s="1"/>
  <c r="AA139" i="5"/>
  <c r="AA18" i="7"/>
  <c r="AA31" i="7"/>
  <c r="AA335" i="8"/>
  <c r="AA142" i="5"/>
  <c r="AA205" i="8"/>
  <c r="AA20" i="2" s="1"/>
  <c r="AA305" i="8"/>
  <c r="AA136" i="5"/>
  <c r="AA146" i="5"/>
  <c r="Z86" i="5"/>
  <c r="AA329" i="8"/>
  <c r="AA99" i="5"/>
  <c r="AA129" i="5"/>
  <c r="Z104" i="5"/>
  <c r="AF10" i="17"/>
  <c r="AD77" i="18" s="1"/>
  <c r="AD2" i="18"/>
  <c r="AD82" i="18" s="1"/>
  <c r="AC4" i="18"/>
  <c r="AC67" i="18"/>
  <c r="AC3" i="18"/>
  <c r="AB10" i="5"/>
  <c r="AB14" i="5"/>
  <c r="AB11" i="5"/>
  <c r="AB17" i="5"/>
  <c r="AB15" i="5"/>
  <c r="AB9" i="5"/>
  <c r="AB18" i="5"/>
  <c r="AB12" i="5"/>
  <c r="AB16" i="5"/>
  <c r="AB8" i="5"/>
  <c r="X119" i="8"/>
  <c r="M349" i="8"/>
  <c r="N121" i="8"/>
  <c r="AA131" i="5"/>
  <c r="AA138" i="5"/>
  <c r="AA332" i="8"/>
  <c r="AA135" i="5"/>
  <c r="AA112" i="5"/>
  <c r="AA137" i="5"/>
  <c r="AA331" i="8"/>
  <c r="Z117" i="5"/>
  <c r="AB25" i="5"/>
  <c r="AB23" i="5"/>
  <c r="AB21" i="5"/>
  <c r="AB27" i="5"/>
  <c r="AA336" i="8"/>
  <c r="AA11" i="7"/>
  <c r="AA8" i="7"/>
  <c r="V115" i="8"/>
  <c r="W113" i="8" s="1"/>
  <c r="W114" i="8" s="1"/>
  <c r="V131" i="8"/>
  <c r="AF8" i="17"/>
  <c r="AD75" i="18" s="1"/>
  <c r="AA147" i="5"/>
  <c r="Z140" i="5"/>
  <c r="Z334" i="8"/>
  <c r="AA330" i="8"/>
  <c r="AA130" i="5"/>
  <c r="AA333" i="8"/>
  <c r="AA133" i="5"/>
  <c r="Z32" i="7"/>
  <c r="Z35" i="7"/>
  <c r="AC9" i="8"/>
  <c r="AB17" i="8"/>
  <c r="AC20" i="8"/>
  <c r="AC24" i="8"/>
  <c r="AB7" i="7"/>
  <c r="AC6" i="7"/>
  <c r="AA337" i="8"/>
  <c r="AA144" i="5"/>
  <c r="Z44" i="2"/>
  <c r="L348" i="8"/>
  <c r="M133" i="8"/>
  <c r="Z328" i="8"/>
  <c r="X60" i="2" l="1"/>
  <c r="H37" i="5"/>
  <c r="H38" i="5" s="1"/>
  <c r="H39" i="5" s="1"/>
  <c r="AB81" i="5"/>
  <c r="AB85" i="5" s="1"/>
  <c r="X33" i="5"/>
  <c r="AA134" i="5"/>
  <c r="AE13" i="23" s="1"/>
  <c r="AC57" i="18"/>
  <c r="AB68" i="8" s="1"/>
  <c r="AC41" i="18"/>
  <c r="AC55" i="18"/>
  <c r="AC56" i="18"/>
  <c r="AB62" i="8" s="1"/>
  <c r="AC42" i="18"/>
  <c r="AC40" i="18"/>
  <c r="AB36" i="8" s="1"/>
  <c r="AB56" i="8"/>
  <c r="AA42" i="8"/>
  <c r="Z46" i="8"/>
  <c r="AA44" i="8" s="1"/>
  <c r="AA45" i="8" s="1"/>
  <c r="Z206" i="8"/>
  <c r="Z18" i="2" s="1"/>
  <c r="Z42" i="2" s="1"/>
  <c r="AD15" i="23"/>
  <c r="AD14" i="23" s="1"/>
  <c r="Y61" i="2"/>
  <c r="Y60" i="2" s="1"/>
  <c r="AC69" i="5"/>
  <c r="AC73" i="5"/>
  <c r="AC71" i="5"/>
  <c r="AC74" i="5"/>
  <c r="AC72" i="5"/>
  <c r="AC75" i="5"/>
  <c r="AC67" i="5"/>
  <c r="AC65" i="5"/>
  <c r="AC68" i="5"/>
  <c r="AC66" i="5"/>
  <c r="AC80" i="5"/>
  <c r="AC84" i="5"/>
  <c r="AC78" i="5"/>
  <c r="AC79" i="5" s="1"/>
  <c r="AC82" i="5"/>
  <c r="AC83" i="5" s="1"/>
  <c r="AB70" i="5"/>
  <c r="Y30" i="5"/>
  <c r="Y31" i="5"/>
  <c r="Y32" i="5"/>
  <c r="I48" i="5"/>
  <c r="I59" i="5" s="1"/>
  <c r="I35" i="5" s="1"/>
  <c r="AA20" i="5"/>
  <c r="AA28" i="5" s="1"/>
  <c r="AB7" i="5"/>
  <c r="AB128" i="5" s="1"/>
  <c r="AB64" i="5"/>
  <c r="Z39" i="8"/>
  <c r="Z40" i="8" s="1"/>
  <c r="AA38" i="8" s="1"/>
  <c r="Z43" i="5"/>
  <c r="Z56" i="5" s="1"/>
  <c r="Z100" i="5"/>
  <c r="AA48" i="8"/>
  <c r="Z52" i="8"/>
  <c r="AA50" i="8" s="1"/>
  <c r="AA51" i="8" s="1"/>
  <c r="AB22" i="5"/>
  <c r="AB20" i="5" s="1"/>
  <c r="AB26" i="5"/>
  <c r="AB24" i="5" s="1"/>
  <c r="AB145" i="5" s="1"/>
  <c r="AB13" i="5"/>
  <c r="AC9" i="23"/>
  <c r="AA141" i="5"/>
  <c r="AA19" i="5"/>
  <c r="AA140" i="5" s="1"/>
  <c r="AA128" i="5"/>
  <c r="AD10" i="23"/>
  <c r="Y56" i="2"/>
  <c r="AE12" i="23"/>
  <c r="Z58" i="2"/>
  <c r="Z223" i="8"/>
  <c r="Z150" i="5"/>
  <c r="X55" i="2"/>
  <c r="AD11" i="23"/>
  <c r="Y57" i="2"/>
  <c r="Z59" i="2"/>
  <c r="AA63" i="2"/>
  <c r="AF17" i="23"/>
  <c r="M10" i="6"/>
  <c r="M11" i="6" s="1"/>
  <c r="I71" i="8"/>
  <c r="I72" i="8" s="1"/>
  <c r="I114" i="5"/>
  <c r="J103" i="8"/>
  <c r="J58" i="8"/>
  <c r="W88" i="8"/>
  <c r="W89" i="8" s="1"/>
  <c r="X87" i="8" s="1"/>
  <c r="X101" i="5" s="1"/>
  <c r="X125" i="8"/>
  <c r="W127" i="8"/>
  <c r="W128" i="8" s="1"/>
  <c r="W129" i="8" s="1"/>
  <c r="V350" i="8"/>
  <c r="AD10" i="8"/>
  <c r="Y14" i="2"/>
  <c r="Y15" i="2" s="1"/>
  <c r="AD27" i="8"/>
  <c r="Y239" i="8"/>
  <c r="Y241" i="8" s="1"/>
  <c r="Y22" i="21"/>
  <c r="Y24" i="21" s="1"/>
  <c r="AC5" i="8"/>
  <c r="AB4" i="21"/>
  <c r="Y224" i="8"/>
  <c r="AE14" i="8"/>
  <c r="AD11" i="8"/>
  <c r="AE26" i="8"/>
  <c r="AE25" i="8"/>
  <c r="AD22" i="8"/>
  <c r="AE8" i="8"/>
  <c r="AE15" i="8"/>
  <c r="AD21" i="8"/>
  <c r="AA191" i="8"/>
  <c r="X241" i="8"/>
  <c r="Z183" i="8"/>
  <c r="AF12" i="17"/>
  <c r="AD79" i="18" s="1"/>
  <c r="X38" i="2"/>
  <c r="X39" i="2" s="1"/>
  <c r="X15" i="2"/>
  <c r="AA182" i="8"/>
  <c r="AA197" i="8"/>
  <c r="AA198" i="8" s="1"/>
  <c r="AA154" i="8"/>
  <c r="AB109" i="8"/>
  <c r="AC107" i="8" s="1"/>
  <c r="AC108" i="8" s="1"/>
  <c r="AB95" i="8"/>
  <c r="AC93" i="8" s="1"/>
  <c r="AC94" i="8" s="1"/>
  <c r="AB190" i="8"/>
  <c r="AB195" i="8"/>
  <c r="AA155" i="8"/>
  <c r="AA194" i="8"/>
  <c r="AA196" i="8" s="1"/>
  <c r="AA180" i="8"/>
  <c r="Z199" i="8"/>
  <c r="AB83" i="18"/>
  <c r="AB84" i="18"/>
  <c r="AE19" i="8"/>
  <c r="AD16" i="8"/>
  <c r="AA63" i="5"/>
  <c r="AB6" i="5"/>
  <c r="Y290" i="8"/>
  <c r="AB136" i="5"/>
  <c r="AB132" i="5"/>
  <c r="AD75" i="8"/>
  <c r="AC117" i="8"/>
  <c r="AC168" i="8" s="1"/>
  <c r="Z82" i="8"/>
  <c r="Z83" i="8" s="1"/>
  <c r="AB131" i="5"/>
  <c r="AB288" i="8"/>
  <c r="AB237" i="8"/>
  <c r="AA334" i="8"/>
  <c r="AD24" i="8"/>
  <c r="AA32" i="7"/>
  <c r="AB336" i="8"/>
  <c r="AB143" i="5"/>
  <c r="AB130" i="5"/>
  <c r="AB330" i="8"/>
  <c r="AC7" i="7"/>
  <c r="AD6" i="7"/>
  <c r="AA104" i="5"/>
  <c r="N122" i="8"/>
  <c r="N123" i="8" s="1"/>
  <c r="AE2" i="18"/>
  <c r="AE82" i="18" s="1"/>
  <c r="AD4" i="18"/>
  <c r="AD67" i="18"/>
  <c r="AD3" i="18"/>
  <c r="AG10" i="17"/>
  <c r="AE77" i="18" s="1"/>
  <c r="AA44" i="2"/>
  <c r="AB146" i="5"/>
  <c r="AD20" i="8"/>
  <c r="W115" i="8"/>
  <c r="X113" i="8" s="1"/>
  <c r="X114" i="8" s="1"/>
  <c r="W131" i="8"/>
  <c r="AB135" i="5"/>
  <c r="AB112" i="5"/>
  <c r="AB332" i="8"/>
  <c r="AB138" i="5"/>
  <c r="AB11" i="7"/>
  <c r="AB8" i="7"/>
  <c r="AC18" i="5"/>
  <c r="AC17" i="5"/>
  <c r="AC10" i="5"/>
  <c r="AC9" i="5"/>
  <c r="AC11" i="5"/>
  <c r="AC12" i="5"/>
  <c r="AC15" i="5"/>
  <c r="AC16" i="5"/>
  <c r="AC14" i="5"/>
  <c r="AC8" i="5"/>
  <c r="AB144" i="5"/>
  <c r="AB337" i="8"/>
  <c r="Y119" i="8"/>
  <c r="AB129" i="5"/>
  <c r="AB99" i="5"/>
  <c r="AB329" i="8"/>
  <c r="AB137" i="5"/>
  <c r="AB331" i="8"/>
  <c r="AC27" i="5"/>
  <c r="AC21" i="5"/>
  <c r="AC25" i="5"/>
  <c r="AC23" i="5"/>
  <c r="Z327" i="8"/>
  <c r="AB148" i="5"/>
  <c r="AD13" i="8"/>
  <c r="AB31" i="7"/>
  <c r="AB18" i="7"/>
  <c r="AD9" i="8"/>
  <c r="AC17" i="8"/>
  <c r="AA35" i="7"/>
  <c r="M134" i="8"/>
  <c r="M135" i="8" s="1"/>
  <c r="M351" i="8" s="1"/>
  <c r="M34" i="2"/>
  <c r="M340" i="8"/>
  <c r="M10" i="2" s="1"/>
  <c r="AG8" i="17"/>
  <c r="AE75" i="18" s="1"/>
  <c r="AA117" i="5"/>
  <c r="AB142" i="5"/>
  <c r="AB335" i="8"/>
  <c r="AB333" i="8"/>
  <c r="AB133" i="5"/>
  <c r="AB305" i="8"/>
  <c r="AB205" i="8"/>
  <c r="AB20" i="2" s="1"/>
  <c r="AB139" i="5"/>
  <c r="AA328" i="8"/>
  <c r="AA86" i="5"/>
  <c r="AB147" i="5" l="1"/>
  <c r="I34" i="5"/>
  <c r="AC77" i="5"/>
  <c r="I36" i="5"/>
  <c r="AB134" i="5"/>
  <c r="AA149" i="5"/>
  <c r="AA29" i="5"/>
  <c r="AA150" i="5" s="1"/>
  <c r="AD42" i="18"/>
  <c r="AD40" i="18"/>
  <c r="AC36" i="8" s="1"/>
  <c r="AD57" i="18"/>
  <c r="AC68" i="8" s="1"/>
  <c r="AD41" i="18"/>
  <c r="AD55" i="18"/>
  <c r="AD56" i="18"/>
  <c r="AC62" i="8" s="1"/>
  <c r="Z31" i="5"/>
  <c r="Z30" i="5"/>
  <c r="Z32" i="5"/>
  <c r="AA39" i="8"/>
  <c r="AA40" i="8" s="1"/>
  <c r="AB38" i="8" s="1"/>
  <c r="AA100" i="5"/>
  <c r="AA43" i="5"/>
  <c r="AA56" i="5" s="1"/>
  <c r="Y33" i="5"/>
  <c r="AC64" i="5"/>
  <c r="AB42" i="8"/>
  <c r="AA46" i="8"/>
  <c r="AB44" i="8" s="1"/>
  <c r="AB45" i="8" s="1"/>
  <c r="AC13" i="5"/>
  <c r="AD82" i="5"/>
  <c r="AD83" i="5" s="1"/>
  <c r="AD81" i="5" s="1"/>
  <c r="AD78" i="5"/>
  <c r="AD79" i="5" s="1"/>
  <c r="AD80" i="5"/>
  <c r="AD84" i="5"/>
  <c r="AA156" i="8"/>
  <c r="AE16" i="23"/>
  <c r="Z62" i="2"/>
  <c r="AB48" i="8"/>
  <c r="AA52" i="8"/>
  <c r="AB50" i="8" s="1"/>
  <c r="AB51" i="8" s="1"/>
  <c r="AB76" i="5"/>
  <c r="AB86" i="5" s="1"/>
  <c r="AC70" i="5"/>
  <c r="AC76" i="5" s="1"/>
  <c r="AC56" i="8"/>
  <c r="AD69" i="5"/>
  <c r="AD75" i="5"/>
  <c r="AD73" i="5"/>
  <c r="AD71" i="5"/>
  <c r="AD74" i="5"/>
  <c r="AD72" i="5"/>
  <c r="AD67" i="5"/>
  <c r="AD68" i="5"/>
  <c r="AD66" i="5"/>
  <c r="AD65" i="5"/>
  <c r="AE15" i="23"/>
  <c r="Z61" i="2"/>
  <c r="AC81" i="5"/>
  <c r="AC85" i="5" s="1"/>
  <c r="AA223" i="8"/>
  <c r="AC26" i="5"/>
  <c r="AC24" i="5" s="1"/>
  <c r="Y55" i="2"/>
  <c r="AE11" i="23"/>
  <c r="Z57" i="2"/>
  <c r="AE10" i="23"/>
  <c r="Z56" i="2"/>
  <c r="AF11" i="23"/>
  <c r="AA57" i="2"/>
  <c r="AA58" i="2"/>
  <c r="AF12" i="23"/>
  <c r="AB28" i="5"/>
  <c r="AB149" i="5" s="1"/>
  <c r="AB141" i="5"/>
  <c r="AC22" i="5"/>
  <c r="AC20" i="5" s="1"/>
  <c r="AC7" i="5"/>
  <c r="AD9" i="23"/>
  <c r="AF13" i="23"/>
  <c r="AA59" i="2"/>
  <c r="AB19" i="5"/>
  <c r="AB63" i="2"/>
  <c r="AG17" i="23"/>
  <c r="J59" i="8"/>
  <c r="J60" i="8" s="1"/>
  <c r="K101" i="8"/>
  <c r="J64" i="8"/>
  <c r="J65" i="8" s="1"/>
  <c r="J66" i="8" s="1"/>
  <c r="AA199" i="8"/>
  <c r="AA14" i="2" s="1"/>
  <c r="W350" i="8"/>
  <c r="X127" i="8"/>
  <c r="X128" i="8" s="1"/>
  <c r="X129" i="8" s="1"/>
  <c r="Y125" i="8"/>
  <c r="X88" i="8"/>
  <c r="X89" i="8" s="1"/>
  <c r="Y87" i="8" s="1"/>
  <c r="Y101" i="5" s="1"/>
  <c r="AA81" i="8"/>
  <c r="Y38" i="2"/>
  <c r="Y39" i="2" s="1"/>
  <c r="AE16" i="8"/>
  <c r="AE21" i="8"/>
  <c r="Z290" i="8"/>
  <c r="Z22" i="21"/>
  <c r="Z24" i="21" s="1"/>
  <c r="AD5" i="8"/>
  <c r="AC4" i="21"/>
  <c r="AF14" i="8"/>
  <c r="AF19" i="8"/>
  <c r="AF25" i="8"/>
  <c r="AE11" i="8"/>
  <c r="AE22" i="8"/>
  <c r="AF15" i="8"/>
  <c r="AE10" i="8"/>
  <c r="AF26" i="8"/>
  <c r="AB197" i="8"/>
  <c r="AB198" i="8" s="1"/>
  <c r="AB182" i="8"/>
  <c r="AB180" i="8"/>
  <c r="AB194" i="8"/>
  <c r="AB196" i="8" s="1"/>
  <c r="AG12" i="17"/>
  <c r="AE79" i="18" s="1"/>
  <c r="Z240" i="8"/>
  <c r="Z224" i="8"/>
  <c r="Z14" i="2"/>
  <c r="AB155" i="8"/>
  <c r="AB188" i="8"/>
  <c r="AB191" i="8" s="1"/>
  <c r="AB154" i="8"/>
  <c r="AA206" i="8"/>
  <c r="AA18" i="2" s="1"/>
  <c r="AA42" i="2" s="1"/>
  <c r="AA183" i="8"/>
  <c r="AC190" i="8"/>
  <c r="AC95" i="8"/>
  <c r="AD93" i="8" s="1"/>
  <c r="AD94" i="8" s="1"/>
  <c r="AC109" i="8"/>
  <c r="AD107" i="8" s="1"/>
  <c r="AD108" i="8" s="1"/>
  <c r="AC188" i="8"/>
  <c r="AC195" i="8"/>
  <c r="AC83" i="18"/>
  <c r="AC84" i="18"/>
  <c r="AF8" i="8"/>
  <c r="AE27" i="8"/>
  <c r="AF27" i="8" s="1"/>
  <c r="AE13" i="8"/>
  <c r="Z239" i="8"/>
  <c r="AA327" i="8"/>
  <c r="AC6" i="5"/>
  <c r="AB63" i="5"/>
  <c r="AC131" i="5"/>
  <c r="AB334" i="8"/>
  <c r="AC132" i="5"/>
  <c r="AC136" i="5"/>
  <c r="AD117" i="8"/>
  <c r="AD168" i="8" s="1"/>
  <c r="AE75" i="8"/>
  <c r="AC288" i="8"/>
  <c r="AC237" i="8"/>
  <c r="AC148" i="5"/>
  <c r="AC146" i="5"/>
  <c r="AB328" i="8"/>
  <c r="N133" i="8"/>
  <c r="M348" i="8"/>
  <c r="AE20" i="8"/>
  <c r="AH8" i="17"/>
  <c r="AF75" i="18" s="1"/>
  <c r="AC144" i="5"/>
  <c r="AC337" i="8"/>
  <c r="Z119" i="8"/>
  <c r="AC135" i="5"/>
  <c r="AC112" i="5"/>
  <c r="AB104" i="5"/>
  <c r="AB35" i="7"/>
  <c r="AH10" i="17"/>
  <c r="AF77" i="18" s="1"/>
  <c r="AC205" i="8"/>
  <c r="AC20" i="2" s="1"/>
  <c r="AC305" i="8"/>
  <c r="AC330" i="8"/>
  <c r="AC130" i="5"/>
  <c r="X115" i="8"/>
  <c r="Y113" i="8" s="1"/>
  <c r="Y114" i="8" s="1"/>
  <c r="X131" i="8"/>
  <c r="AC18" i="7"/>
  <c r="AC31" i="7"/>
  <c r="AB44" i="2"/>
  <c r="AC138" i="5"/>
  <c r="AC332" i="8"/>
  <c r="AC133" i="5"/>
  <c r="AC333" i="8"/>
  <c r="AB32" i="7"/>
  <c r="AF2" i="18"/>
  <c r="AF82" i="18" s="1"/>
  <c r="AE67" i="18"/>
  <c r="AE4" i="18"/>
  <c r="AE3" i="18"/>
  <c r="AD7" i="7"/>
  <c r="AE6" i="7"/>
  <c r="AC139" i="5"/>
  <c r="AD10" i="5"/>
  <c r="AD11" i="5"/>
  <c r="AD16" i="5"/>
  <c r="AD18" i="5"/>
  <c r="AD17" i="5"/>
  <c r="AD8" i="5"/>
  <c r="AD14" i="5"/>
  <c r="AD9" i="5"/>
  <c r="AD15" i="5"/>
  <c r="AD12" i="5"/>
  <c r="AE9" i="8"/>
  <c r="AD17" i="8"/>
  <c r="AC336" i="8"/>
  <c r="AC11" i="7"/>
  <c r="AC8" i="7"/>
  <c r="AC142" i="5"/>
  <c r="AC335" i="8"/>
  <c r="AC331" i="8"/>
  <c r="AC137" i="5"/>
  <c r="AC99" i="5"/>
  <c r="AC129" i="5"/>
  <c r="AC329" i="8"/>
  <c r="AB117" i="5"/>
  <c r="AD25" i="5"/>
  <c r="AD21" i="5"/>
  <c r="AD23" i="5"/>
  <c r="AD27" i="5"/>
  <c r="O121" i="8"/>
  <c r="N349" i="8"/>
  <c r="AE24" i="8"/>
  <c r="AA224" i="8" l="1"/>
  <c r="I37" i="5"/>
  <c r="I38" i="5" s="1"/>
  <c r="I39" i="5" s="1"/>
  <c r="Z60" i="2"/>
  <c r="AD77" i="5"/>
  <c r="AC143" i="5"/>
  <c r="AC134" i="5"/>
  <c r="AD64" i="5"/>
  <c r="Z33" i="5"/>
  <c r="AB140" i="5"/>
  <c r="AC42" i="8"/>
  <c r="AB46" i="8"/>
  <c r="AC44" i="8" s="1"/>
  <c r="AC45" i="8" s="1"/>
  <c r="AE55" i="18"/>
  <c r="AE56" i="18"/>
  <c r="AE42" i="18"/>
  <c r="AE40" i="18"/>
  <c r="AD36" i="8" s="1"/>
  <c r="AE57" i="18"/>
  <c r="AD68" i="8" s="1"/>
  <c r="AE41" i="18"/>
  <c r="AE69" i="5"/>
  <c r="AE72" i="5"/>
  <c r="AE75" i="5"/>
  <c r="AE74" i="5"/>
  <c r="AE73" i="5"/>
  <c r="AE71" i="5"/>
  <c r="AE68" i="5"/>
  <c r="AE66" i="5"/>
  <c r="AE67" i="5"/>
  <c r="AE65" i="5"/>
  <c r="AB206" i="8"/>
  <c r="AB18" i="2" s="1"/>
  <c r="AB42" i="2" s="1"/>
  <c r="AF15" i="23"/>
  <c r="AA61" i="2"/>
  <c r="AC145" i="5"/>
  <c r="AB58" i="2" s="1"/>
  <c r="AD85" i="5"/>
  <c r="Z55" i="2"/>
  <c r="AE14" i="23"/>
  <c r="AD70" i="5"/>
  <c r="AD76" i="5" s="1"/>
  <c r="AD56" i="8"/>
  <c r="AC48" i="8"/>
  <c r="AB52" i="8"/>
  <c r="AC50" i="8" s="1"/>
  <c r="AC51" i="8" s="1"/>
  <c r="AB39" i="8"/>
  <c r="AB40" i="8" s="1"/>
  <c r="AC38" i="8" s="1"/>
  <c r="AB100" i="5"/>
  <c r="AB43" i="5"/>
  <c r="AB56" i="5" s="1"/>
  <c r="AA31" i="5"/>
  <c r="AA32" i="5"/>
  <c r="AA30" i="5"/>
  <c r="AD62" i="8"/>
  <c r="AE78" i="5"/>
  <c r="AE79" i="5" s="1"/>
  <c r="AE82" i="5"/>
  <c r="AE83" i="5" s="1"/>
  <c r="AE80" i="5"/>
  <c r="AE84" i="5"/>
  <c r="AB156" i="8"/>
  <c r="AF16" i="23"/>
  <c r="AA62" i="2"/>
  <c r="AE9" i="23"/>
  <c r="AG12" i="23"/>
  <c r="AD26" i="5"/>
  <c r="AD24" i="5" s="1"/>
  <c r="AD145" i="5" s="1"/>
  <c r="AD13" i="5"/>
  <c r="AC19" i="5"/>
  <c r="AC128" i="5"/>
  <c r="AC28" i="5"/>
  <c r="AC149" i="5" s="1"/>
  <c r="AC141" i="5"/>
  <c r="AD22" i="5"/>
  <c r="AD20" i="5" s="1"/>
  <c r="AD7" i="5"/>
  <c r="AB29" i="5"/>
  <c r="AB150" i="5" s="1"/>
  <c r="AC147" i="5"/>
  <c r="AB223" i="8"/>
  <c r="AF10" i="23"/>
  <c r="AF9" i="23" s="1"/>
  <c r="AA56" i="2"/>
  <c r="AA55" i="2" s="1"/>
  <c r="AC63" i="2"/>
  <c r="AH17" i="23"/>
  <c r="N10" i="6"/>
  <c r="N11" i="6" s="1"/>
  <c r="AA82" i="8"/>
  <c r="AA83" i="8" s="1"/>
  <c r="AB81" i="8" s="1"/>
  <c r="J70" i="8"/>
  <c r="K102" i="8"/>
  <c r="AA240" i="8"/>
  <c r="Y88" i="8"/>
  <c r="Y89" i="8" s="1"/>
  <c r="Z87" i="8" s="1"/>
  <c r="Z101" i="5" s="1"/>
  <c r="Y127" i="8"/>
  <c r="Y128" i="8" s="1"/>
  <c r="Y129" i="8" s="1"/>
  <c r="X350" i="8"/>
  <c r="Z125" i="8"/>
  <c r="AF10" i="8"/>
  <c r="AG25" i="8"/>
  <c r="AA290" i="8"/>
  <c r="AA22" i="21"/>
  <c r="AA24" i="21" s="1"/>
  <c r="AE5" i="8"/>
  <c r="AD4" i="21"/>
  <c r="AG8" i="8"/>
  <c r="AG26" i="8"/>
  <c r="AG14" i="8"/>
  <c r="AF22" i="8"/>
  <c r="AF21" i="8"/>
  <c r="AF11" i="8"/>
  <c r="Z241" i="8"/>
  <c r="AC191" i="8"/>
  <c r="AG15" i="8"/>
  <c r="AD131" i="5"/>
  <c r="AC182" i="8"/>
  <c r="AC197" i="8"/>
  <c r="AC198" i="8" s="1"/>
  <c r="AD109" i="8"/>
  <c r="AE107" i="8" s="1"/>
  <c r="AE108" i="8" s="1"/>
  <c r="AD195" i="8"/>
  <c r="AD190" i="8"/>
  <c r="AD188" i="8"/>
  <c r="AD95" i="8"/>
  <c r="AE93" i="8" s="1"/>
  <c r="AE94" i="8" s="1"/>
  <c r="AB199" i="8"/>
  <c r="AB183" i="8"/>
  <c r="AC180" i="8"/>
  <c r="AC194" i="8"/>
  <c r="AC196" i="8" s="1"/>
  <c r="AC154" i="8"/>
  <c r="AC155" i="8"/>
  <c r="AA15" i="2"/>
  <c r="AA38" i="2"/>
  <c r="AA39" i="2" s="1"/>
  <c r="Z38" i="2"/>
  <c r="Z39" i="2" s="1"/>
  <c r="Z15" i="2"/>
  <c r="AH12" i="17"/>
  <c r="AF79" i="18" s="1"/>
  <c r="AD83" i="18"/>
  <c r="AD84" i="18"/>
  <c r="AA239" i="8"/>
  <c r="AG19" i="8"/>
  <c r="AF16" i="8"/>
  <c r="AG16" i="8" s="1"/>
  <c r="AC334" i="8"/>
  <c r="AD6" i="5"/>
  <c r="AC63" i="5"/>
  <c r="AB327" i="8"/>
  <c r="AD139" i="5"/>
  <c r="AC140" i="5"/>
  <c r="AD136" i="5"/>
  <c r="AD237" i="8"/>
  <c r="AD288" i="8"/>
  <c r="AE117" i="8"/>
  <c r="AF75" i="8"/>
  <c r="O122" i="8"/>
  <c r="O123" i="8" s="1"/>
  <c r="AF4" i="18"/>
  <c r="AG2" i="18"/>
  <c r="AG82" i="18" s="1"/>
  <c r="AF3" i="18"/>
  <c r="AF67" i="18"/>
  <c r="AD144" i="5"/>
  <c r="AD337" i="8"/>
  <c r="AD142" i="5"/>
  <c r="AD335" i="8"/>
  <c r="AC104" i="5"/>
  <c r="AD205" i="8"/>
  <c r="AD20" i="2" s="1"/>
  <c r="AD305" i="8"/>
  <c r="AD336" i="8"/>
  <c r="AC35" i="7"/>
  <c r="AC117" i="5"/>
  <c r="AF9" i="8"/>
  <c r="AE17" i="8"/>
  <c r="AD137" i="5"/>
  <c r="AD331" i="8"/>
  <c r="AD112" i="5"/>
  <c r="AD135" i="5"/>
  <c r="AE7" i="7"/>
  <c r="AF6" i="7"/>
  <c r="AI10" i="17"/>
  <c r="AG77" i="18" s="1"/>
  <c r="AI8" i="17"/>
  <c r="AG75" i="18" s="1"/>
  <c r="N134" i="8"/>
  <c r="N135" i="8" s="1"/>
  <c r="N351" i="8" s="1"/>
  <c r="N340" i="8"/>
  <c r="N10" i="2" s="1"/>
  <c r="N34" i="2"/>
  <c r="AD148" i="5"/>
  <c r="AD146" i="5"/>
  <c r="AD330" i="8"/>
  <c r="AD130" i="5"/>
  <c r="AD138" i="5"/>
  <c r="AD332" i="8"/>
  <c r="AC44" i="2"/>
  <c r="AD31" i="7"/>
  <c r="AD18" i="7"/>
  <c r="AF24" i="8"/>
  <c r="AC32" i="7"/>
  <c r="AD129" i="5"/>
  <c r="AD99" i="5"/>
  <c r="AD329" i="8"/>
  <c r="AD133" i="5"/>
  <c r="AD333" i="8"/>
  <c r="AD11" i="7"/>
  <c r="AD8" i="7"/>
  <c r="Y115" i="8"/>
  <c r="Z113" i="8" s="1"/>
  <c r="Z114" i="8" s="1"/>
  <c r="Y131" i="8"/>
  <c r="AE25" i="5"/>
  <c r="AE27" i="5"/>
  <c r="AE23" i="5"/>
  <c r="AE21" i="5"/>
  <c r="AA119" i="8"/>
  <c r="AE11" i="5"/>
  <c r="AE12" i="5"/>
  <c r="AE9" i="5"/>
  <c r="AE16" i="5"/>
  <c r="AE8" i="5"/>
  <c r="AE15" i="5"/>
  <c r="AE10" i="5"/>
  <c r="AE18" i="5"/>
  <c r="AE17" i="5"/>
  <c r="AE14" i="5"/>
  <c r="AF20" i="8"/>
  <c r="AD147" i="5"/>
  <c r="AC328" i="8"/>
  <c r="AC86" i="5"/>
  <c r="AD132" i="5"/>
  <c r="AF13" i="8"/>
  <c r="AE81" i="5" l="1"/>
  <c r="AA33" i="5"/>
  <c r="AD134" i="5"/>
  <c r="AB59" i="2"/>
  <c r="AG13" i="23"/>
  <c r="AF78" i="5"/>
  <c r="AF79" i="5" s="1"/>
  <c r="AF84" i="5"/>
  <c r="AF82" i="5"/>
  <c r="AF83" i="5" s="1"/>
  <c r="AF81" i="5" s="1"/>
  <c r="AF80" i="5"/>
  <c r="AC39" i="8"/>
  <c r="AC40" i="8" s="1"/>
  <c r="AD38" i="8" s="1"/>
  <c r="AC100" i="5"/>
  <c r="AC43" i="5"/>
  <c r="AC56" i="5" s="1"/>
  <c r="AE13" i="5"/>
  <c r="AF41" i="18"/>
  <c r="AF55" i="18"/>
  <c r="AE56" i="8" s="1"/>
  <c r="AF56" i="18"/>
  <c r="AE62" i="8" s="1"/>
  <c r="AF42" i="18"/>
  <c r="AF40" i="18"/>
  <c r="AE36" i="8" s="1"/>
  <c r="AF57" i="18"/>
  <c r="AE68" i="8" s="1"/>
  <c r="AE77" i="5"/>
  <c r="AE85" i="5" s="1"/>
  <c r="AE64" i="5"/>
  <c r="AE70" i="5"/>
  <c r="AG15" i="23"/>
  <c r="AB61" i="2"/>
  <c r="AC29" i="5"/>
  <c r="AA241" i="8"/>
  <c r="AC156" i="8"/>
  <c r="AG16" i="23"/>
  <c r="AB62" i="2"/>
  <c r="AH14" i="8"/>
  <c r="AB32" i="5"/>
  <c r="AB30" i="5"/>
  <c r="AB31" i="5"/>
  <c r="AD48" i="8"/>
  <c r="AC52" i="8"/>
  <c r="AD50" i="8" s="1"/>
  <c r="AD51" i="8" s="1"/>
  <c r="AA60" i="2"/>
  <c r="AD42" i="8"/>
  <c r="AC46" i="8"/>
  <c r="AD44" i="8" s="1"/>
  <c r="AD45" i="8" s="1"/>
  <c r="AF69" i="5"/>
  <c r="AF75" i="5"/>
  <c r="AF74" i="5"/>
  <c r="AF72" i="5"/>
  <c r="AF73" i="5"/>
  <c r="AF71" i="5"/>
  <c r="AF66" i="5"/>
  <c r="AF67" i="5"/>
  <c r="AF65" i="5"/>
  <c r="AF68" i="5"/>
  <c r="AF14" i="23"/>
  <c r="AD28" i="5"/>
  <c r="AD149" i="5" s="1"/>
  <c r="AD141" i="5"/>
  <c r="AE26" i="5"/>
  <c r="AE24" i="5" s="1"/>
  <c r="AE145" i="5" s="1"/>
  <c r="AG10" i="23"/>
  <c r="AB56" i="2"/>
  <c r="AG11" i="23"/>
  <c r="AB57" i="2"/>
  <c r="AC58" i="2"/>
  <c r="AH12" i="23"/>
  <c r="AC223" i="8"/>
  <c r="AC150" i="5"/>
  <c r="AE7" i="5"/>
  <c r="AE22" i="5"/>
  <c r="AE143" i="5" s="1"/>
  <c r="AD143" i="5"/>
  <c r="AD19" i="5"/>
  <c r="AD140" i="5" s="1"/>
  <c r="AD128" i="5"/>
  <c r="AH13" i="23"/>
  <c r="AC59" i="2"/>
  <c r="J71" i="8"/>
  <c r="J72" i="8" s="1"/>
  <c r="J113" i="5"/>
  <c r="AB82" i="8"/>
  <c r="AB83" i="8" s="1"/>
  <c r="AC81" i="8" s="1"/>
  <c r="J48" i="5"/>
  <c r="J114" i="5"/>
  <c r="K103" i="8"/>
  <c r="K58" i="8"/>
  <c r="AA125" i="8"/>
  <c r="Z127" i="8"/>
  <c r="Z128" i="8" s="1"/>
  <c r="Z129" i="8" s="1"/>
  <c r="Y350" i="8"/>
  <c r="Z88" i="8"/>
  <c r="Z89" i="8" s="1"/>
  <c r="AA87" i="8" s="1"/>
  <c r="AA101" i="5" s="1"/>
  <c r="AG21" i="8"/>
  <c r="AH25" i="8"/>
  <c r="AI14" i="8" s="1"/>
  <c r="AH15" i="8"/>
  <c r="AB290" i="8"/>
  <c r="AB22" i="21"/>
  <c r="AB24" i="21" s="1"/>
  <c r="AF5" i="8"/>
  <c r="AE4" i="21"/>
  <c r="AH19" i="8"/>
  <c r="AG22" i="8"/>
  <c r="AG10" i="8"/>
  <c r="AG11" i="8"/>
  <c r="AC199" i="8"/>
  <c r="AC14" i="2" s="1"/>
  <c r="AH26" i="8"/>
  <c r="AG27" i="8"/>
  <c r="AH27" i="8" s="1"/>
  <c r="AI12" i="17"/>
  <c r="AG79" i="18" s="1"/>
  <c r="AC206" i="8"/>
  <c r="AC18" i="2" s="1"/>
  <c r="AC42" i="2" s="1"/>
  <c r="AB14" i="2"/>
  <c r="AB224" i="8"/>
  <c r="AB240" i="8"/>
  <c r="AD191" i="8"/>
  <c r="AD154" i="8"/>
  <c r="AD194" i="8"/>
  <c r="AD196" i="8" s="1"/>
  <c r="AD180" i="8"/>
  <c r="AE109" i="8"/>
  <c r="AF107" i="8" s="1"/>
  <c r="AF108" i="8" s="1"/>
  <c r="AE95" i="8"/>
  <c r="AF93" i="8" s="1"/>
  <c r="AF94" i="8" s="1"/>
  <c r="AE155" i="8"/>
  <c r="AE190" i="8"/>
  <c r="AD182" i="8"/>
  <c r="AD197" i="8"/>
  <c r="AD198" i="8" s="1"/>
  <c r="AD155" i="8"/>
  <c r="AC183" i="8"/>
  <c r="AE83" i="18"/>
  <c r="AE84" i="18"/>
  <c r="AH8" i="8"/>
  <c r="AC327" i="8"/>
  <c r="AG13" i="8"/>
  <c r="AD63" i="5"/>
  <c r="AE6" i="5"/>
  <c r="AE131" i="5"/>
  <c r="AB239" i="8"/>
  <c r="AE139" i="5"/>
  <c r="AE132" i="5"/>
  <c r="AG75" i="8"/>
  <c r="AF117" i="8"/>
  <c r="AD86" i="5"/>
  <c r="AE136" i="5"/>
  <c r="AE130" i="5"/>
  <c r="AE330" i="8"/>
  <c r="Z115" i="8"/>
  <c r="AA113" i="8" s="1"/>
  <c r="AA114" i="8" s="1"/>
  <c r="Z131" i="8"/>
  <c r="AD35" i="7"/>
  <c r="AJ8" i="17"/>
  <c r="AH75" i="18" s="1"/>
  <c r="AD44" i="2"/>
  <c r="P121" i="8"/>
  <c r="O349" i="8"/>
  <c r="AE138" i="5"/>
  <c r="AE332" i="8"/>
  <c r="AE133" i="5"/>
  <c r="AE333" i="8"/>
  <c r="AB119" i="8"/>
  <c r="AD32" i="7"/>
  <c r="AE135" i="5"/>
  <c r="AE112" i="5"/>
  <c r="AE142" i="5"/>
  <c r="AE335" i="8"/>
  <c r="AD117" i="5"/>
  <c r="AJ10" i="17"/>
  <c r="AH77" i="18" s="1"/>
  <c r="AE18" i="7"/>
  <c r="AE31" i="7"/>
  <c r="AG9" i="8"/>
  <c r="AF17" i="8"/>
  <c r="AE11" i="7"/>
  <c r="AE8" i="7"/>
  <c r="AE148" i="5"/>
  <c r="AD328" i="8"/>
  <c r="AD334" i="8"/>
  <c r="AE331" i="8"/>
  <c r="AE137" i="5"/>
  <c r="AE329" i="8"/>
  <c r="AE129" i="5"/>
  <c r="AE99" i="5"/>
  <c r="AE336" i="8"/>
  <c r="N348" i="8"/>
  <c r="O133" i="8"/>
  <c r="AF17" i="5"/>
  <c r="AF18" i="5"/>
  <c r="AF12" i="5"/>
  <c r="AF15" i="5"/>
  <c r="AF14" i="5"/>
  <c r="AF10" i="5"/>
  <c r="AF9" i="5"/>
  <c r="AF8" i="5"/>
  <c r="AF16" i="5"/>
  <c r="AF11" i="5"/>
  <c r="AG4" i="18"/>
  <c r="AH2" i="18"/>
  <c r="AH82" i="18" s="1"/>
  <c r="AG3" i="18"/>
  <c r="AG67" i="18"/>
  <c r="AG20" i="8"/>
  <c r="AE337" i="8"/>
  <c r="AE144" i="5"/>
  <c r="AD104" i="5"/>
  <c r="AG24" i="8"/>
  <c r="AF27" i="5"/>
  <c r="AF21" i="5"/>
  <c r="AF23" i="5"/>
  <c r="AF25" i="5"/>
  <c r="AF7" i="7"/>
  <c r="AG6" i="7"/>
  <c r="AE305" i="8"/>
  <c r="AE205" i="8"/>
  <c r="AE20" i="2" s="1"/>
  <c r="AE147" i="5"/>
  <c r="AE146" i="5"/>
  <c r="AI25" i="8" l="1"/>
  <c r="AF64" i="5"/>
  <c r="AE76" i="5"/>
  <c r="AF77" i="5"/>
  <c r="AF85" i="5" s="1"/>
  <c r="AC31" i="5"/>
  <c r="AC30" i="5"/>
  <c r="AC32" i="5"/>
  <c r="AD156" i="8"/>
  <c r="AH16" i="23"/>
  <c r="AC62" i="2"/>
  <c r="AI16" i="23"/>
  <c r="AD62" i="2"/>
  <c r="AE20" i="5"/>
  <c r="AE48" i="8"/>
  <c r="AD52" i="8"/>
  <c r="AE50" i="8" s="1"/>
  <c r="AE51" i="8" s="1"/>
  <c r="AG84" i="5"/>
  <c r="AG78" i="5"/>
  <c r="AG79" i="5" s="1"/>
  <c r="AG82" i="5"/>
  <c r="AG83" i="5" s="1"/>
  <c r="AG81" i="5" s="1"/>
  <c r="AG80" i="5"/>
  <c r="AG57" i="18"/>
  <c r="AF68" i="8" s="1"/>
  <c r="AG41" i="18"/>
  <c r="AG55" i="18"/>
  <c r="AF56" i="8" s="1"/>
  <c r="AG56" i="18"/>
  <c r="AF62" i="8" s="1"/>
  <c r="AG40" i="18"/>
  <c r="AF36" i="8" s="1"/>
  <c r="AG42" i="18"/>
  <c r="AD206" i="8"/>
  <c r="AD18" i="2" s="1"/>
  <c r="AD42" i="2" s="1"/>
  <c r="AH15" i="23"/>
  <c r="AH14" i="23" s="1"/>
  <c r="AC61" i="2"/>
  <c r="AH21" i="8"/>
  <c r="J59" i="5"/>
  <c r="J34" i="5" s="1"/>
  <c r="AE42" i="8"/>
  <c r="AD46" i="8"/>
  <c r="AE44" i="8" s="1"/>
  <c r="AE45" i="8" s="1"/>
  <c r="AD39" i="8"/>
  <c r="AD40" i="8" s="1"/>
  <c r="AE38" i="8" s="1"/>
  <c r="AD43" i="5"/>
  <c r="AD56" i="5" s="1"/>
  <c r="AD100" i="5"/>
  <c r="AG69" i="5"/>
  <c r="AG75" i="5"/>
  <c r="AG71" i="5"/>
  <c r="AG73" i="5"/>
  <c r="AG74" i="5"/>
  <c r="AG72" i="5"/>
  <c r="AG67" i="5"/>
  <c r="AG65" i="5"/>
  <c r="AG68" i="5"/>
  <c r="AG66" i="5"/>
  <c r="AD29" i="5"/>
  <c r="AD150" i="5" s="1"/>
  <c r="AF70" i="5"/>
  <c r="AB33" i="5"/>
  <c r="AB60" i="2"/>
  <c r="AG14" i="23"/>
  <c r="AE134" i="5"/>
  <c r="AF26" i="5"/>
  <c r="AF24" i="5" s="1"/>
  <c r="AF145" i="5" s="1"/>
  <c r="AF22" i="5"/>
  <c r="AF20" i="5" s="1"/>
  <c r="AF7" i="5"/>
  <c r="AH11" i="23"/>
  <c r="AC57" i="2"/>
  <c r="AE28" i="5"/>
  <c r="AE149" i="5" s="1"/>
  <c r="AE141" i="5"/>
  <c r="AB55" i="2"/>
  <c r="AI12" i="23"/>
  <c r="AD58" i="2"/>
  <c r="AF13" i="5"/>
  <c r="AF134" i="5" s="1"/>
  <c r="AD223" i="8"/>
  <c r="AE19" i="5"/>
  <c r="AE140" i="5" s="1"/>
  <c r="AE128" i="5"/>
  <c r="AG9" i="23"/>
  <c r="AH10" i="23"/>
  <c r="AC56" i="2"/>
  <c r="O10" i="6"/>
  <c r="O11" i="6" s="1"/>
  <c r="K59" i="8"/>
  <c r="K60" i="8" s="1"/>
  <c r="K64" i="8"/>
  <c r="K65" i="8" s="1"/>
  <c r="K66" i="8" s="1"/>
  <c r="L101" i="8"/>
  <c r="AA88" i="8"/>
  <c r="AA89" i="8" s="1"/>
  <c r="AB87" i="8" s="1"/>
  <c r="AB101" i="5" s="1"/>
  <c r="AA127" i="8"/>
  <c r="AA128" i="8" s="1"/>
  <c r="AA129" i="8" s="1"/>
  <c r="Z350" i="8"/>
  <c r="AB125" i="8"/>
  <c r="AC82" i="8"/>
  <c r="AC83" i="8" s="1"/>
  <c r="AD81" i="8" s="1"/>
  <c r="AI19" i="8"/>
  <c r="AI15" i="8"/>
  <c r="AC290" i="8"/>
  <c r="AC22" i="21"/>
  <c r="AC24" i="21" s="1"/>
  <c r="AG5" i="8"/>
  <c r="AF4" i="21"/>
  <c r="AH22" i="8"/>
  <c r="AH10" i="8"/>
  <c r="AI10" i="8" s="1"/>
  <c r="AH11" i="8"/>
  <c r="AC240" i="8"/>
  <c r="AC224" i="8"/>
  <c r="AI26" i="8"/>
  <c r="AH16" i="8"/>
  <c r="AI16" i="8" s="1"/>
  <c r="AD183" i="8"/>
  <c r="AB241" i="8"/>
  <c r="AE182" i="8"/>
  <c r="AE197" i="8"/>
  <c r="AE198" i="8" s="1"/>
  <c r="AE154" i="8"/>
  <c r="AE188" i="8"/>
  <c r="AE191" i="8" s="1"/>
  <c r="AE195" i="8"/>
  <c r="AC38" i="2"/>
  <c r="AC39" i="2" s="1"/>
  <c r="AC15" i="2"/>
  <c r="AF190" i="8"/>
  <c r="AF95" i="8"/>
  <c r="AG93" i="8" s="1"/>
  <c r="AG94" i="8" s="1"/>
  <c r="AF155" i="8"/>
  <c r="AF109" i="8"/>
  <c r="AG107" i="8" s="1"/>
  <c r="AG108" i="8" s="1"/>
  <c r="AE156" i="8"/>
  <c r="AE180" i="8"/>
  <c r="AE194" i="8"/>
  <c r="AD199" i="8"/>
  <c r="AB15" i="2"/>
  <c r="AB38" i="2"/>
  <c r="AB39" i="2" s="1"/>
  <c r="AJ12" i="17"/>
  <c r="AH79" i="18" s="1"/>
  <c r="AF83" i="18"/>
  <c r="AF84" i="18"/>
  <c r="AI8" i="8"/>
  <c r="AH13" i="8"/>
  <c r="AF6" i="5"/>
  <c r="AE63" i="5"/>
  <c r="AC239" i="8"/>
  <c r="AF131" i="5"/>
  <c r="AH75" i="8"/>
  <c r="AG117" i="8"/>
  <c r="AG168" i="8" s="1"/>
  <c r="AF63" i="2" s="1"/>
  <c r="AF142" i="5"/>
  <c r="AF335" i="8"/>
  <c r="AE35" i="7"/>
  <c r="AH6" i="7"/>
  <c r="AG7" i="7"/>
  <c r="AH24" i="8"/>
  <c r="AF205" i="8"/>
  <c r="AF20" i="2" s="1"/>
  <c r="AF305" i="8"/>
  <c r="AF137" i="5"/>
  <c r="AF331" i="8"/>
  <c r="AH9" i="8"/>
  <c r="AG17" i="8"/>
  <c r="AC119" i="8"/>
  <c r="AK8" i="17"/>
  <c r="AI75" i="18" s="1"/>
  <c r="AA115" i="8"/>
  <c r="AB113" i="8" s="1"/>
  <c r="AA131" i="8"/>
  <c r="AF148" i="5"/>
  <c r="AF332" i="8"/>
  <c r="AF138" i="5"/>
  <c r="AE44" i="2"/>
  <c r="AF144" i="5"/>
  <c r="AF337" i="8"/>
  <c r="AF143" i="5"/>
  <c r="AF336" i="8"/>
  <c r="AH3" i="18"/>
  <c r="AI2" i="18"/>
  <c r="AI82" i="18" s="1"/>
  <c r="AH4" i="18"/>
  <c r="AH67" i="18"/>
  <c r="AF330" i="8"/>
  <c r="AF130" i="5"/>
  <c r="AF112" i="5"/>
  <c r="AF135" i="5"/>
  <c r="O134" i="8"/>
  <c r="O135" i="8" s="1"/>
  <c r="O351" i="8" s="1"/>
  <c r="O34" i="2"/>
  <c r="O340" i="8"/>
  <c r="O10" i="2" s="1"/>
  <c r="AE117" i="5"/>
  <c r="AK10" i="17"/>
  <c r="AI77" i="18" s="1"/>
  <c r="P122" i="8"/>
  <c r="P123" i="8" s="1"/>
  <c r="AF139" i="5"/>
  <c r="AE86" i="5"/>
  <c r="AF146" i="5"/>
  <c r="AF136" i="5"/>
  <c r="AE328" i="8"/>
  <c r="AD327" i="8"/>
  <c r="AG23" i="5"/>
  <c r="AG21" i="5"/>
  <c r="AG27" i="5"/>
  <c r="AG25" i="5"/>
  <c r="AG14" i="5"/>
  <c r="AG8" i="5"/>
  <c r="AG18" i="5"/>
  <c r="AG12" i="5"/>
  <c r="AG11" i="5"/>
  <c r="AG16" i="5"/>
  <c r="AG15" i="5"/>
  <c r="AG17" i="5"/>
  <c r="AG10" i="5"/>
  <c r="AG9" i="5"/>
  <c r="AF31" i="7"/>
  <c r="AF18" i="7"/>
  <c r="AH20" i="8"/>
  <c r="AF8" i="7"/>
  <c r="AF11" i="7"/>
  <c r="AF129" i="5"/>
  <c r="AF329" i="8"/>
  <c r="AF99" i="5"/>
  <c r="AF333" i="8"/>
  <c r="AF133" i="5"/>
  <c r="AE32" i="7"/>
  <c r="AE104" i="5"/>
  <c r="AF147" i="5"/>
  <c r="AF132" i="5"/>
  <c r="AE334" i="8"/>
  <c r="AC60" i="2" l="1"/>
  <c r="AF76" i="5"/>
  <c r="AC33" i="5"/>
  <c r="AE29" i="5"/>
  <c r="J35" i="5"/>
  <c r="AH9" i="23"/>
  <c r="J36" i="5"/>
  <c r="AH82" i="5"/>
  <c r="AH83" i="5" s="1"/>
  <c r="AH78" i="5"/>
  <c r="AH79" i="5" s="1"/>
  <c r="AH80" i="5"/>
  <c r="AH84" i="5"/>
  <c r="AI15" i="23"/>
  <c r="AI14" i="23" s="1"/>
  <c r="AD61" i="2"/>
  <c r="AD60" i="2" s="1"/>
  <c r="AE39" i="8"/>
  <c r="AE40" i="8" s="1"/>
  <c r="AF38" i="8" s="1"/>
  <c r="AE100" i="5"/>
  <c r="AE43" i="5"/>
  <c r="AE56" i="5" s="1"/>
  <c r="AH42" i="18"/>
  <c r="AH40" i="18"/>
  <c r="AG36" i="8" s="1"/>
  <c r="AH57" i="18"/>
  <c r="AG68" i="8" s="1"/>
  <c r="AH41" i="18"/>
  <c r="AH55" i="18"/>
  <c r="AG56" i="8" s="1"/>
  <c r="AH56" i="18"/>
  <c r="AG62" i="8" s="1"/>
  <c r="AF156" i="8"/>
  <c r="AJ16" i="23"/>
  <c r="AK16" i="23" s="1"/>
  <c r="AE62" i="2"/>
  <c r="AI13" i="23"/>
  <c r="AD59" i="2"/>
  <c r="AG64" i="5"/>
  <c r="AF42" i="8"/>
  <c r="AE46" i="8"/>
  <c r="AF44" i="8" s="1"/>
  <c r="AF45" i="8" s="1"/>
  <c r="AF48" i="8"/>
  <c r="AE52" i="8"/>
  <c r="AF50" i="8" s="1"/>
  <c r="AF51" i="8" s="1"/>
  <c r="AH69" i="5"/>
  <c r="AH72" i="5"/>
  <c r="AH74" i="5"/>
  <c r="AH75" i="5"/>
  <c r="AH73" i="5"/>
  <c r="AH71" i="5"/>
  <c r="AH68" i="5"/>
  <c r="AH66" i="5"/>
  <c r="AH67" i="5"/>
  <c r="AH65" i="5"/>
  <c r="AG70" i="5"/>
  <c r="AD31" i="5"/>
  <c r="AD32" i="5"/>
  <c r="AD30" i="5"/>
  <c r="AG77" i="5"/>
  <c r="AG85" i="5" s="1"/>
  <c r="AG7" i="5"/>
  <c r="AG26" i="5"/>
  <c r="AG24" i="5" s="1"/>
  <c r="AG145" i="5" s="1"/>
  <c r="AF58" i="2" s="1"/>
  <c r="AG22" i="5"/>
  <c r="AG20" i="5" s="1"/>
  <c r="AE223" i="8"/>
  <c r="AE150" i="5"/>
  <c r="AI11" i="23"/>
  <c r="AD57" i="2"/>
  <c r="AJ13" i="23"/>
  <c r="AE59" i="2"/>
  <c r="AI10" i="23"/>
  <c r="AD56" i="2"/>
  <c r="AF19" i="5"/>
  <c r="AF128" i="5"/>
  <c r="AF28" i="5"/>
  <c r="AF149" i="5" s="1"/>
  <c r="AF141" i="5"/>
  <c r="AE58" i="2"/>
  <c r="AJ12" i="23"/>
  <c r="AK12" i="23" s="1"/>
  <c r="AG13" i="5"/>
  <c r="AC55" i="2"/>
  <c r="K70" i="8"/>
  <c r="K71" i="8" s="1"/>
  <c r="K72" i="8" s="1"/>
  <c r="L102" i="8"/>
  <c r="AI22" i="8"/>
  <c r="AC125" i="8"/>
  <c r="AA350" i="8"/>
  <c r="AB127" i="8"/>
  <c r="AB128" i="8" s="1"/>
  <c r="AB129" i="8" s="1"/>
  <c r="AB88" i="8"/>
  <c r="AB89" i="8" s="1"/>
  <c r="AC87" i="8" s="1"/>
  <c r="AC101" i="5" s="1"/>
  <c r="AD82" i="8"/>
  <c r="AD83" i="8" s="1"/>
  <c r="AE81" i="8" s="1"/>
  <c r="AD290" i="8"/>
  <c r="AD22" i="21"/>
  <c r="AD24" i="21" s="1"/>
  <c r="AH5" i="8"/>
  <c r="AG4" i="21"/>
  <c r="AD239" i="8"/>
  <c r="AI21" i="8"/>
  <c r="AI11" i="8"/>
  <c r="AC241" i="8"/>
  <c r="AI27" i="8"/>
  <c r="AE183" i="8"/>
  <c r="AE196" i="8"/>
  <c r="AE199" i="8" s="1"/>
  <c r="AG95" i="8"/>
  <c r="AH93" i="8" s="1"/>
  <c r="AH94" i="8" s="1"/>
  <c r="AG190" i="8"/>
  <c r="AG109" i="8"/>
  <c r="AH107" i="8" s="1"/>
  <c r="AH108" i="8" s="1"/>
  <c r="AD14" i="2"/>
  <c r="AD224" i="8"/>
  <c r="AD240" i="8"/>
  <c r="AF188" i="8"/>
  <c r="AF191" i="8" s="1"/>
  <c r="AF194" i="8"/>
  <c r="AF180" i="8"/>
  <c r="AK12" i="17"/>
  <c r="AI79" i="18" s="1"/>
  <c r="AF182" i="8"/>
  <c r="AF197" i="8"/>
  <c r="AF198" i="8" s="1"/>
  <c r="AF154" i="8"/>
  <c r="AF195" i="8"/>
  <c r="AE206" i="8"/>
  <c r="AE18" i="2" s="1"/>
  <c r="AE42" i="2" s="1"/>
  <c r="AG83" i="18"/>
  <c r="AG84" i="18"/>
  <c r="AB114" i="8"/>
  <c r="AB115" i="8" s="1"/>
  <c r="AC113" i="8" s="1"/>
  <c r="AG6" i="5"/>
  <c r="AF63" i="5"/>
  <c r="AG139" i="5"/>
  <c r="AF140" i="5"/>
  <c r="AG146" i="5"/>
  <c r="AG148" i="5"/>
  <c r="AI13" i="8"/>
  <c r="AI75" i="8"/>
  <c r="AH117" i="8"/>
  <c r="AH168" i="8" s="1"/>
  <c r="AG63" i="2" s="1"/>
  <c r="AF35" i="7"/>
  <c r="AF32" i="7"/>
  <c r="AG329" i="8"/>
  <c r="AG129" i="5"/>
  <c r="AG99" i="5"/>
  <c r="AG112" i="5"/>
  <c r="AG135" i="5"/>
  <c r="AG336" i="8"/>
  <c r="AG335" i="8"/>
  <c r="AG142" i="5"/>
  <c r="P349" i="8"/>
  <c r="Q121" i="8"/>
  <c r="AL10" i="17"/>
  <c r="AJ77" i="18" s="1"/>
  <c r="O348" i="8"/>
  <c r="P133" i="8"/>
  <c r="AG205" i="8"/>
  <c r="AG20" i="2" s="1"/>
  <c r="AG305" i="8"/>
  <c r="AH11" i="5"/>
  <c r="AH16" i="5"/>
  <c r="AH18" i="5"/>
  <c r="AH17" i="5"/>
  <c r="AH15" i="5"/>
  <c r="AH10" i="5"/>
  <c r="AH14" i="5"/>
  <c r="AH12" i="5"/>
  <c r="AH8" i="5"/>
  <c r="AH9" i="5"/>
  <c r="AI9" i="8"/>
  <c r="AH17" i="8"/>
  <c r="AF328" i="8"/>
  <c r="AG131" i="5"/>
  <c r="AF334" i="8"/>
  <c r="AI20" i="8"/>
  <c r="AG144" i="5"/>
  <c r="AG337" i="8"/>
  <c r="AG8" i="7"/>
  <c r="AG11" i="7"/>
  <c r="AL8" i="17"/>
  <c r="AJ75" i="18" s="1"/>
  <c r="AI6" i="7"/>
  <c r="AH7" i="7"/>
  <c r="AG132" i="5"/>
  <c r="AG136" i="5"/>
  <c r="AG147" i="5"/>
  <c r="AF86" i="5"/>
  <c r="AF117" i="5"/>
  <c r="AG130" i="5"/>
  <c r="AG330" i="8"/>
  <c r="AG137" i="5"/>
  <c r="AG331" i="8"/>
  <c r="AI3" i="18"/>
  <c r="AI4" i="18"/>
  <c r="AI67" i="18"/>
  <c r="E68" i="18" s="1"/>
  <c r="D308" i="8" s="1"/>
  <c r="AJ2" i="18"/>
  <c r="AJ82" i="18" s="1"/>
  <c r="AD119" i="8"/>
  <c r="AF44" i="2"/>
  <c r="AG31" i="7"/>
  <c r="AG18" i="7"/>
  <c r="AF104" i="5"/>
  <c r="AG333" i="8"/>
  <c r="AG133" i="5"/>
  <c r="AG332" i="8"/>
  <c r="AG138" i="5"/>
  <c r="AH23" i="5"/>
  <c r="AH25" i="5"/>
  <c r="AH27" i="5"/>
  <c r="AH21" i="5"/>
  <c r="AB131" i="8"/>
  <c r="AI24" i="8"/>
  <c r="AE327" i="8"/>
  <c r="AD55" i="2" l="1"/>
  <c r="AG134" i="5"/>
  <c r="AF59" i="2" s="1"/>
  <c r="J37" i="5"/>
  <c r="J38" i="5" s="1"/>
  <c r="J39" i="5" s="1"/>
  <c r="AH81" i="5"/>
  <c r="AF29" i="5"/>
  <c r="AG76" i="5"/>
  <c r="AI9" i="23"/>
  <c r="AI55" i="18"/>
  <c r="AH56" i="8" s="1"/>
  <c r="AI56" i="18"/>
  <c r="AH62" i="8" s="1"/>
  <c r="AI42" i="18"/>
  <c r="AI40" i="18"/>
  <c r="AH36" i="8" s="1"/>
  <c r="AI57" i="18"/>
  <c r="AH68" i="8" s="1"/>
  <c r="AI41" i="18"/>
  <c r="AF39" i="8"/>
  <c r="AF40" i="8" s="1"/>
  <c r="AG38" i="8" s="1"/>
  <c r="AF100" i="5"/>
  <c r="AF43" i="5"/>
  <c r="AF56" i="5" s="1"/>
  <c r="AI69" i="5"/>
  <c r="AI75" i="5"/>
  <c r="AI73" i="5"/>
  <c r="AI74" i="5"/>
  <c r="AI71" i="5"/>
  <c r="AI72" i="5"/>
  <c r="AI68" i="5"/>
  <c r="AI66" i="5"/>
  <c r="AI67" i="5"/>
  <c r="AI65" i="5"/>
  <c r="AH7" i="5"/>
  <c r="AJ15" i="23"/>
  <c r="AE61" i="2"/>
  <c r="AE60" i="2" s="1"/>
  <c r="AG42" i="8"/>
  <c r="AF46" i="8"/>
  <c r="AG44" i="8" s="1"/>
  <c r="AG45" i="8" s="1"/>
  <c r="AH77" i="5"/>
  <c r="AI82" i="5"/>
  <c r="AI83" i="5" s="1"/>
  <c r="AI80" i="5"/>
  <c r="AI84" i="5"/>
  <c r="AI78" i="5"/>
  <c r="AI79" i="5" s="1"/>
  <c r="K113" i="5"/>
  <c r="AK13" i="23"/>
  <c r="AG48" i="8"/>
  <c r="AF52" i="8"/>
  <c r="AG50" i="8" s="1"/>
  <c r="AG51" i="8" s="1"/>
  <c r="AE32" i="5"/>
  <c r="AE30" i="5"/>
  <c r="AE31" i="5"/>
  <c r="AH85" i="5"/>
  <c r="AH13" i="5"/>
  <c r="AD33" i="5"/>
  <c r="AH64" i="5"/>
  <c r="AH70" i="5"/>
  <c r="AH76" i="5" s="1"/>
  <c r="AG28" i="5"/>
  <c r="AG149" i="5" s="1"/>
  <c r="AG141" i="5"/>
  <c r="AF56" i="2" s="1"/>
  <c r="AH22" i="5"/>
  <c r="AH20" i="5" s="1"/>
  <c r="AH26" i="5"/>
  <c r="AH24" i="5" s="1"/>
  <c r="AH145" i="5" s="1"/>
  <c r="AG58" i="2" s="1"/>
  <c r="AF223" i="8"/>
  <c r="AF150" i="5"/>
  <c r="B165" i="8" s="1"/>
  <c r="AH19" i="5"/>
  <c r="AH128" i="5"/>
  <c r="AG57" i="2" s="1"/>
  <c r="AJ10" i="23"/>
  <c r="AE56" i="2"/>
  <c r="AJ11" i="23"/>
  <c r="AK11" i="23" s="1"/>
  <c r="AE57" i="2"/>
  <c r="AG19" i="5"/>
  <c r="AG128" i="5"/>
  <c r="AF57" i="2" s="1"/>
  <c r="AH146" i="5"/>
  <c r="AG143" i="5"/>
  <c r="P10" i="6"/>
  <c r="P11" i="6" s="1"/>
  <c r="AE82" i="8"/>
  <c r="AE83" i="8" s="1"/>
  <c r="AF81" i="8" s="1"/>
  <c r="D309" i="8"/>
  <c r="E307" i="8" s="1"/>
  <c r="D292" i="8"/>
  <c r="D226" i="8"/>
  <c r="D227" i="8" s="1"/>
  <c r="D21" i="2"/>
  <c r="D45" i="2" s="1"/>
  <c r="D306" i="8"/>
  <c r="D14" i="6" s="1"/>
  <c r="D15" i="6" s="1"/>
  <c r="D17" i="6" s="1"/>
  <c r="K48" i="5"/>
  <c r="K114" i="5"/>
  <c r="L103" i="8"/>
  <c r="L58" i="8"/>
  <c r="AC88" i="8"/>
  <c r="AC89" i="8" s="1"/>
  <c r="AD87" i="8" s="1"/>
  <c r="AD101" i="5" s="1"/>
  <c r="AB350" i="8"/>
  <c r="AC127" i="8"/>
  <c r="AC128" i="8" s="1"/>
  <c r="AC129" i="8" s="1"/>
  <c r="AD125" i="8"/>
  <c r="B162" i="8"/>
  <c r="B161" i="8"/>
  <c r="AE239" i="8"/>
  <c r="AE22" i="21"/>
  <c r="AE24" i="21" s="1"/>
  <c r="AI5" i="8"/>
  <c r="AH4" i="21"/>
  <c r="AD241" i="8"/>
  <c r="AE224" i="8"/>
  <c r="AE14" i="2"/>
  <c r="AE38" i="2" s="1"/>
  <c r="AE39" i="2" s="1"/>
  <c r="AE240" i="8"/>
  <c r="AF183" i="8"/>
  <c r="AF206" i="8"/>
  <c r="AF18" i="2" s="1"/>
  <c r="AF42" i="2" s="1"/>
  <c r="AL12" i="17"/>
  <c r="AJ79" i="18" s="1"/>
  <c r="AF196" i="8"/>
  <c r="AF199" i="8" s="1"/>
  <c r="AD38" i="2"/>
  <c r="AD39" i="2" s="1"/>
  <c r="AD15" i="2"/>
  <c r="AG154" i="8"/>
  <c r="AF61" i="2" s="1"/>
  <c r="AG195" i="8"/>
  <c r="AG188" i="8"/>
  <c r="AG191" i="8" s="1"/>
  <c r="AH190" i="8"/>
  <c r="AH109" i="8"/>
  <c r="AI107" i="8" s="1"/>
  <c r="AI108" i="8" s="1"/>
  <c r="AH95" i="8"/>
  <c r="AI93" i="8" s="1"/>
  <c r="AI94" i="8" s="1"/>
  <c r="AG155" i="8"/>
  <c r="AG180" i="8"/>
  <c r="AG194" i="8"/>
  <c r="AG182" i="8"/>
  <c r="AG197" i="8"/>
  <c r="AG198" i="8" s="1"/>
  <c r="AH83" i="18"/>
  <c r="AH84" i="18"/>
  <c r="AE290" i="8"/>
  <c r="AC114" i="8"/>
  <c r="AC115" i="8" s="1"/>
  <c r="AD113" i="8" s="1"/>
  <c r="AH139" i="5"/>
  <c r="AH6" i="5"/>
  <c r="AG63" i="5"/>
  <c r="AH148" i="5"/>
  <c r="AG86" i="5"/>
  <c r="AG29" i="5"/>
  <c r="F68" i="18"/>
  <c r="AF327" i="8"/>
  <c r="AI117" i="8"/>
  <c r="AI168" i="8" s="1"/>
  <c r="AH63" i="2" s="1"/>
  <c r="AH136" i="5"/>
  <c r="AH147" i="5"/>
  <c r="AC131" i="8"/>
  <c r="AH337" i="8"/>
  <c r="AH144" i="5"/>
  <c r="AH143" i="5"/>
  <c r="AH336" i="8"/>
  <c r="AE119" i="8"/>
  <c r="AI7" i="7"/>
  <c r="AH137" i="5"/>
  <c r="AH331" i="8"/>
  <c r="P134" i="8"/>
  <c r="P135" i="8" s="1"/>
  <c r="P351" i="8" s="1"/>
  <c r="P34" i="2"/>
  <c r="P340" i="8"/>
  <c r="P10" i="2" s="1"/>
  <c r="Q122" i="8"/>
  <c r="Q123" i="8" s="1"/>
  <c r="AH132" i="5"/>
  <c r="AH335" i="8"/>
  <c r="AH142" i="5"/>
  <c r="AH305" i="8"/>
  <c r="C310" i="8" s="1"/>
  <c r="AH205" i="8"/>
  <c r="AH20" i="2" s="1"/>
  <c r="AH31" i="7"/>
  <c r="AH18" i="7"/>
  <c r="AG35" i="7"/>
  <c r="AG32" i="7"/>
  <c r="AH129" i="5"/>
  <c r="AH329" i="8"/>
  <c r="AH99" i="5"/>
  <c r="AH112" i="5"/>
  <c r="AH135" i="5"/>
  <c r="AG44" i="2"/>
  <c r="AJ4" i="18"/>
  <c r="AJ67" i="18"/>
  <c r="AJ3" i="18"/>
  <c r="AK2" i="18"/>
  <c r="AK82" i="18" s="1"/>
  <c r="AG104" i="5"/>
  <c r="AG117" i="5"/>
  <c r="AI17" i="8"/>
  <c r="AH133" i="5"/>
  <c r="AH333" i="8"/>
  <c r="AH138" i="5"/>
  <c r="AH332" i="8"/>
  <c r="AI27" i="5"/>
  <c r="AI21" i="5"/>
  <c r="AI23" i="5"/>
  <c r="AI25" i="5"/>
  <c r="AG334" i="8"/>
  <c r="AG328" i="8"/>
  <c r="AH8" i="7"/>
  <c r="AH11" i="7"/>
  <c r="AI17" i="5"/>
  <c r="AI9" i="5"/>
  <c r="AI16" i="5"/>
  <c r="AI10" i="5"/>
  <c r="AI12" i="5"/>
  <c r="AI15" i="5"/>
  <c r="AI11" i="5"/>
  <c r="AI18" i="5"/>
  <c r="AI14" i="5"/>
  <c r="AI8" i="5"/>
  <c r="AH330" i="8"/>
  <c r="AH130" i="5"/>
  <c r="AH131" i="5"/>
  <c r="AG140" i="5" l="1"/>
  <c r="AH48" i="8"/>
  <c r="AG52" i="8"/>
  <c r="AH50" i="8" s="1"/>
  <c r="AH51" i="8" s="1"/>
  <c r="AF30" i="5"/>
  <c r="AF32" i="5"/>
  <c r="AF31" i="5"/>
  <c r="AJ41" i="18"/>
  <c r="AJ55" i="18"/>
  <c r="AI56" i="8" s="1"/>
  <c r="AJ56" i="18"/>
  <c r="AI62" i="8" s="1"/>
  <c r="AJ40" i="18"/>
  <c r="AI36" i="8" s="1"/>
  <c r="AJ42" i="18"/>
  <c r="AJ57" i="18"/>
  <c r="AI68" i="8" s="1"/>
  <c r="AH134" i="5"/>
  <c r="AG59" i="2" s="1"/>
  <c r="AE33" i="5"/>
  <c r="AH42" i="8"/>
  <c r="AG46" i="8"/>
  <c r="AH44" i="8" s="1"/>
  <c r="AH45" i="8" s="1"/>
  <c r="AI64" i="5"/>
  <c r="AI81" i="5"/>
  <c r="AI70" i="5"/>
  <c r="AG39" i="8"/>
  <c r="AG40" i="8" s="1"/>
  <c r="AH38" i="8" s="1"/>
  <c r="AG100" i="5"/>
  <c r="AG43" i="5"/>
  <c r="AG56" i="5" s="1"/>
  <c r="AI7" i="5"/>
  <c r="AG156" i="8"/>
  <c r="AF62" i="2"/>
  <c r="AF60" i="2" s="1"/>
  <c r="K59" i="5"/>
  <c r="K34" i="5" s="1"/>
  <c r="AI77" i="5"/>
  <c r="AJ14" i="23"/>
  <c r="AK15" i="23"/>
  <c r="AI26" i="5"/>
  <c r="AI24" i="5" s="1"/>
  <c r="AI145" i="5" s="1"/>
  <c r="AH58" i="2" s="1"/>
  <c r="AI22" i="5"/>
  <c r="AI20" i="5" s="1"/>
  <c r="AG223" i="8"/>
  <c r="AG150" i="5"/>
  <c r="AJ9" i="23"/>
  <c r="AK10" i="23"/>
  <c r="AH28" i="5"/>
  <c r="AH149" i="5" s="1"/>
  <c r="AH141" i="5"/>
  <c r="AG56" i="2" s="1"/>
  <c r="AI13" i="5"/>
  <c r="AI134" i="5" s="1"/>
  <c r="AH59" i="2" s="1"/>
  <c r="AE55" i="2"/>
  <c r="AF55" i="2"/>
  <c r="E225" i="8"/>
  <c r="E291" i="8"/>
  <c r="E339" i="8"/>
  <c r="L59" i="8"/>
  <c r="L60" i="8" s="1"/>
  <c r="L64" i="8"/>
  <c r="L65" i="8" s="1"/>
  <c r="L66" i="8" s="1"/>
  <c r="M101" i="8"/>
  <c r="AE125" i="8"/>
  <c r="AD127" i="8"/>
  <c r="AD128" i="8" s="1"/>
  <c r="AD129" i="8" s="1"/>
  <c r="AC350" i="8"/>
  <c r="AD88" i="8"/>
  <c r="AD89" i="8" s="1"/>
  <c r="AE87" i="8" s="1"/>
  <c r="AE101" i="5" s="1"/>
  <c r="AF82" i="8"/>
  <c r="AF83" i="8" s="1"/>
  <c r="AG81" i="8" s="1"/>
  <c r="AF239" i="8"/>
  <c r="B167" i="8" s="1"/>
  <c r="AF22" i="21"/>
  <c r="AE241" i="8"/>
  <c r="AI4" i="21"/>
  <c r="AE15" i="2"/>
  <c r="AG196" i="8"/>
  <c r="AG199" i="8" s="1"/>
  <c r="AG183" i="8"/>
  <c r="AH197" i="8"/>
  <c r="AH198" i="8" s="1"/>
  <c r="AH182" i="8"/>
  <c r="AH180" i="8"/>
  <c r="AH194" i="8"/>
  <c r="AH155" i="8"/>
  <c r="AH195" i="8"/>
  <c r="AG206" i="8"/>
  <c r="AG18" i="2" s="1"/>
  <c r="AG42" i="2" s="1"/>
  <c r="AH154" i="8"/>
  <c r="AH188" i="8"/>
  <c r="AH191" i="8" s="1"/>
  <c r="AF240" i="8"/>
  <c r="AF224" i="8"/>
  <c r="AF14" i="2"/>
  <c r="AI190" i="8"/>
  <c r="AI195" i="8"/>
  <c r="AI109" i="8"/>
  <c r="AI95" i="8"/>
  <c r="AI83" i="18"/>
  <c r="AI84" i="18"/>
  <c r="E308" i="8"/>
  <c r="AD114" i="8"/>
  <c r="AD115" i="8" s="1"/>
  <c r="AE113" i="8" s="1"/>
  <c r="AF290" i="8"/>
  <c r="AI132" i="5"/>
  <c r="AH63" i="5"/>
  <c r="AI6" i="5"/>
  <c r="AH140" i="5"/>
  <c r="G68" i="18"/>
  <c r="AH334" i="8"/>
  <c r="AI131" i="5"/>
  <c r="AI148" i="5"/>
  <c r="AI135" i="5"/>
  <c r="AI112" i="5"/>
  <c r="AI330" i="8"/>
  <c r="AI130" i="5"/>
  <c r="AH35" i="7"/>
  <c r="AH104" i="5"/>
  <c r="AI144" i="5"/>
  <c r="AI337" i="8"/>
  <c r="AI335" i="8"/>
  <c r="AI142" i="5"/>
  <c r="AI305" i="8"/>
  <c r="AI205" i="8"/>
  <c r="AI20" i="2" s="1"/>
  <c r="AI139" i="5"/>
  <c r="AG327" i="8"/>
  <c r="AH86" i="5"/>
  <c r="AI8" i="7"/>
  <c r="AI11" i="7"/>
  <c r="R121" i="8"/>
  <c r="Q349" i="8"/>
  <c r="AF119" i="8"/>
  <c r="AI136" i="5"/>
  <c r="AI146" i="5"/>
  <c r="AH328" i="8"/>
  <c r="AI137" i="5"/>
  <c r="AI331" i="8"/>
  <c r="AH117" i="5"/>
  <c r="AI336" i="8"/>
  <c r="AK3" i="18"/>
  <c r="AK4" i="18"/>
  <c r="AK67" i="18"/>
  <c r="Q133" i="8"/>
  <c r="P348" i="8"/>
  <c r="AI31" i="7"/>
  <c r="AI18" i="7"/>
  <c r="AI333" i="8"/>
  <c r="AI133" i="5"/>
  <c r="AI99" i="5"/>
  <c r="AI329" i="8"/>
  <c r="AI129" i="5"/>
  <c r="AI332" i="8"/>
  <c r="AI138" i="5"/>
  <c r="AH32" i="7"/>
  <c r="AH44" i="2"/>
  <c r="AD131" i="8"/>
  <c r="AI128" i="5" l="1"/>
  <c r="AH57" i="2" s="1"/>
  <c r="AH29" i="5"/>
  <c r="AH150" i="5" s="1"/>
  <c r="AI85" i="5"/>
  <c r="AG55" i="2"/>
  <c r="AI76" i="5"/>
  <c r="AH206" i="8"/>
  <c r="AH18" i="2" s="1"/>
  <c r="AH42" i="2" s="1"/>
  <c r="AG61" i="2"/>
  <c r="K35" i="5"/>
  <c r="K36" i="5"/>
  <c r="AI42" i="8"/>
  <c r="AH46" i="8"/>
  <c r="AI44" i="8" s="1"/>
  <c r="AI45" i="8" s="1"/>
  <c r="AF33" i="5"/>
  <c r="AH39" i="8"/>
  <c r="AH40" i="8" s="1"/>
  <c r="AI38" i="8" s="1"/>
  <c r="AH43" i="5"/>
  <c r="AH56" i="5" s="1"/>
  <c r="AH100" i="5"/>
  <c r="AK14" i="23"/>
  <c r="H27" i="23" s="1"/>
  <c r="J27" i="23"/>
  <c r="AG32" i="5"/>
  <c r="AG31" i="5"/>
  <c r="AG30" i="5"/>
  <c r="AH156" i="8"/>
  <c r="AG62" i="2"/>
  <c r="AI48" i="8"/>
  <c r="AH52" i="8"/>
  <c r="AI50" i="8" s="1"/>
  <c r="AI51" i="8" s="1"/>
  <c r="AI28" i="5"/>
  <c r="AI149" i="5" s="1"/>
  <c r="AI141" i="5"/>
  <c r="AH56" i="2" s="1"/>
  <c r="AH55" i="2" s="1"/>
  <c r="AH223" i="8"/>
  <c r="AI143" i="5"/>
  <c r="AI147" i="5"/>
  <c r="AK9" i="23"/>
  <c r="H26" i="23" s="1"/>
  <c r="J26" i="23"/>
  <c r="AI19" i="5"/>
  <c r="AI140" i="5" s="1"/>
  <c r="Q10" i="6"/>
  <c r="Q11" i="6" s="1"/>
  <c r="L70" i="8"/>
  <c r="L71" i="8" s="1"/>
  <c r="L72" i="8" s="1"/>
  <c r="M102" i="8"/>
  <c r="AE88" i="8"/>
  <c r="AE89" i="8" s="1"/>
  <c r="AF87" i="8" s="1"/>
  <c r="AF101" i="5" s="1"/>
  <c r="AD350" i="8"/>
  <c r="AE127" i="8"/>
  <c r="AE128" i="8" s="1"/>
  <c r="AE129" i="8" s="1"/>
  <c r="AF125" i="8"/>
  <c r="AG82" i="8"/>
  <c r="AG83" i="8" s="1"/>
  <c r="AH81" i="8" s="1"/>
  <c r="AF24" i="21"/>
  <c r="C30" i="21"/>
  <c r="AG22" i="21"/>
  <c r="AG24" i="21" s="1"/>
  <c r="AF241" i="8"/>
  <c r="AH183" i="8"/>
  <c r="AI194" i="8"/>
  <c r="AI196" i="8" s="1"/>
  <c r="AI180" i="8"/>
  <c r="AI182" i="8"/>
  <c r="AI197" i="8"/>
  <c r="AI198" i="8" s="1"/>
  <c r="D12" i="13"/>
  <c r="AH196" i="8"/>
  <c r="AH199" i="8" s="1"/>
  <c r="AG224" i="8"/>
  <c r="AG240" i="8"/>
  <c r="AG14" i="2"/>
  <c r="AI154" i="8"/>
  <c r="AI188" i="8"/>
  <c r="AI191" i="8" s="1"/>
  <c r="AI155" i="8"/>
  <c r="AF15" i="2"/>
  <c r="AF38" i="2"/>
  <c r="AF39" i="2" s="1"/>
  <c r="C11" i="13"/>
  <c r="B33" i="13" s="1"/>
  <c r="D10" i="13"/>
  <c r="AJ83" i="18"/>
  <c r="AJ84" i="18"/>
  <c r="E309" i="8"/>
  <c r="E292" i="8"/>
  <c r="E306" i="8"/>
  <c r="E14" i="6" s="1"/>
  <c r="E21" i="2"/>
  <c r="E45" i="2" s="1"/>
  <c r="E226" i="8"/>
  <c r="E227" i="8" s="1"/>
  <c r="AE114" i="8"/>
  <c r="AE115" i="8" s="1"/>
  <c r="AF113" i="8" s="1"/>
  <c r="AI63" i="5"/>
  <c r="AH327" i="8"/>
  <c r="H68" i="18"/>
  <c r="F308" i="8"/>
  <c r="Q134" i="8"/>
  <c r="Q135" i="8" s="1"/>
  <c r="Q351" i="8" s="1"/>
  <c r="Q34" i="2"/>
  <c r="Q340" i="8"/>
  <c r="Q10" i="2" s="1"/>
  <c r="R122" i="8"/>
  <c r="R123" i="8" s="1"/>
  <c r="AI117" i="5"/>
  <c r="AI334" i="8"/>
  <c r="AE131" i="8"/>
  <c r="AG239" i="8"/>
  <c r="AG290" i="8"/>
  <c r="D16" i="13"/>
  <c r="AI328" i="8"/>
  <c r="AG119" i="8"/>
  <c r="AI32" i="7"/>
  <c r="AI35" i="7"/>
  <c r="AI104" i="5"/>
  <c r="AI44" i="2"/>
  <c r="AI86" i="5"/>
  <c r="AG60" i="2" l="1"/>
  <c r="AG33" i="5"/>
  <c r="K37" i="5"/>
  <c r="K38" i="5" s="1"/>
  <c r="K39" i="5" s="1"/>
  <c r="AI156" i="8"/>
  <c r="AH62" i="2"/>
  <c r="AI52" i="8"/>
  <c r="AH32" i="5"/>
  <c r="AH30" i="5"/>
  <c r="AH31" i="5"/>
  <c r="AI46" i="8"/>
  <c r="L113" i="5"/>
  <c r="AI206" i="8"/>
  <c r="AI18" i="2" s="1"/>
  <c r="AI42" i="2" s="1"/>
  <c r="AH61" i="2"/>
  <c r="AH60" i="2" s="1"/>
  <c r="AI39" i="8"/>
  <c r="AI40" i="8" s="1"/>
  <c r="AI43" i="5"/>
  <c r="AI56" i="5" s="1"/>
  <c r="AI100" i="5"/>
  <c r="AI223" i="8"/>
  <c r="AI29" i="5"/>
  <c r="AI150" i="5" s="1"/>
  <c r="L48" i="5"/>
  <c r="L114" i="5"/>
  <c r="M103" i="8"/>
  <c r="M58" i="8"/>
  <c r="AG125" i="8"/>
  <c r="AF88" i="8"/>
  <c r="AF89" i="8" s="1"/>
  <c r="AG87" i="8" s="1"/>
  <c r="AG101" i="5" s="1"/>
  <c r="AF127" i="8"/>
  <c r="AF128" i="8" s="1"/>
  <c r="AF129" i="8" s="1"/>
  <c r="AE350" i="8"/>
  <c r="AH82" i="8"/>
  <c r="AH83" i="8" s="1"/>
  <c r="AI81" i="8" s="1"/>
  <c r="C32" i="21"/>
  <c r="AH239" i="8"/>
  <c r="AH22" i="21"/>
  <c r="AH24" i="21" s="1"/>
  <c r="AI183" i="8"/>
  <c r="F307" i="8"/>
  <c r="F291" i="8" s="1"/>
  <c r="B45" i="13"/>
  <c r="E45" i="13" s="1"/>
  <c r="B39" i="13"/>
  <c r="B51" i="13"/>
  <c r="AH14" i="2"/>
  <c r="AH224" i="8"/>
  <c r="AH240" i="8"/>
  <c r="B172" i="8"/>
  <c r="AG38" i="2"/>
  <c r="AG39" i="2" s="1"/>
  <c r="AG15" i="2"/>
  <c r="AI199" i="8"/>
  <c r="AK83" i="18"/>
  <c r="AK84" i="18"/>
  <c r="AF114" i="8"/>
  <c r="AF115" i="8" s="1"/>
  <c r="AG113" i="8" s="1"/>
  <c r="AH290" i="8"/>
  <c r="F309" i="8"/>
  <c r="F292" i="8"/>
  <c r="F226" i="8"/>
  <c r="F21" i="2"/>
  <c r="F45" i="2" s="1"/>
  <c r="G308" i="8"/>
  <c r="I68" i="18"/>
  <c r="E15" i="6"/>
  <c r="E17" i="6" s="1"/>
  <c r="AI327" i="8"/>
  <c r="AH119" i="8"/>
  <c r="AG241" i="8"/>
  <c r="Q348" i="8"/>
  <c r="R133" i="8"/>
  <c r="AF131" i="8"/>
  <c r="R349" i="8"/>
  <c r="S121" i="8"/>
  <c r="AI31" i="5" l="1"/>
  <c r="AI32" i="5"/>
  <c r="AI30" i="5"/>
  <c r="L59" i="5"/>
  <c r="L36" i="5" s="1"/>
  <c r="AH33" i="5"/>
  <c r="R10" i="6"/>
  <c r="R11" i="6" s="1"/>
  <c r="M59" i="8"/>
  <c r="M60" i="8" s="1"/>
  <c r="M64" i="8"/>
  <c r="M65" i="8" s="1"/>
  <c r="M66" i="8" s="1"/>
  <c r="N101" i="8"/>
  <c r="AG127" i="8"/>
  <c r="AG128" i="8" s="1"/>
  <c r="AG129" i="8" s="1"/>
  <c r="AF350" i="8"/>
  <c r="AG88" i="8"/>
  <c r="AG89" i="8" s="1"/>
  <c r="AH87" i="8" s="1"/>
  <c r="AH101" i="5" s="1"/>
  <c r="AH125" i="8"/>
  <c r="AI82" i="8"/>
  <c r="AI83" i="8" s="1"/>
  <c r="AI239" i="8"/>
  <c r="AI22" i="21"/>
  <c r="AI24" i="21" s="1"/>
  <c r="AH241" i="8"/>
  <c r="F225" i="8"/>
  <c r="F227" i="8" s="1"/>
  <c r="F306" i="8"/>
  <c r="F14" i="6" s="1"/>
  <c r="F339" i="8"/>
  <c r="B7" i="14"/>
  <c r="AH38" i="2"/>
  <c r="AH39" i="2" s="1"/>
  <c r="AH15" i="2"/>
  <c r="AI224" i="8"/>
  <c r="AI240" i="8"/>
  <c r="AI14" i="2"/>
  <c r="B173" i="8"/>
  <c r="B118" i="5" s="1"/>
  <c r="B106" i="5"/>
  <c r="AG114" i="8"/>
  <c r="AG115" i="8" s="1"/>
  <c r="AH113" i="8" s="1"/>
  <c r="AI290" i="8"/>
  <c r="J68" i="18"/>
  <c r="H308" i="8"/>
  <c r="H103" i="5" s="1"/>
  <c r="G309" i="8"/>
  <c r="G307" i="8"/>
  <c r="G21" i="2"/>
  <c r="G45" i="2" s="1"/>
  <c r="G226" i="8"/>
  <c r="G292" i="8"/>
  <c r="S122" i="8"/>
  <c r="S123" i="8" s="1"/>
  <c r="AI119" i="8"/>
  <c r="AG131" i="8"/>
  <c r="R134" i="8"/>
  <c r="R135" i="8" s="1"/>
  <c r="R351" i="8" s="1"/>
  <c r="R340" i="8"/>
  <c r="R10" i="2" s="1"/>
  <c r="R34" i="2"/>
  <c r="L35" i="5" l="1"/>
  <c r="L34" i="5"/>
  <c r="AI33" i="5"/>
  <c r="B103" i="5"/>
  <c r="C103" i="5"/>
  <c r="D103" i="5"/>
  <c r="E103" i="5"/>
  <c r="F103" i="5"/>
  <c r="G103" i="5"/>
  <c r="M70" i="8"/>
  <c r="M71" i="8" s="1"/>
  <c r="M72" i="8" s="1"/>
  <c r="N102" i="8"/>
  <c r="AI125" i="8"/>
  <c r="AH88" i="8"/>
  <c r="AH89" i="8" s="1"/>
  <c r="AI87" i="8" s="1"/>
  <c r="AI101" i="5" s="1"/>
  <c r="AH127" i="8"/>
  <c r="AH128" i="8" s="1"/>
  <c r="AH129" i="8" s="1"/>
  <c r="AG350" i="8"/>
  <c r="AI241" i="8"/>
  <c r="B35" i="13"/>
  <c r="D102" i="5"/>
  <c r="H116" i="5"/>
  <c r="B102" i="5"/>
  <c r="B9" i="7" s="1"/>
  <c r="B10" i="7" s="1"/>
  <c r="E102" i="5"/>
  <c r="C102" i="5"/>
  <c r="C9" i="7" s="1"/>
  <c r="C10" i="7" s="1"/>
  <c r="F102" i="5"/>
  <c r="AI15" i="2"/>
  <c r="AI38" i="2"/>
  <c r="AI39" i="2" s="1"/>
  <c r="AH114" i="8"/>
  <c r="AH115" i="8" s="1"/>
  <c r="AI113" i="8" s="1"/>
  <c r="F15" i="6"/>
  <c r="F17" i="6" s="1"/>
  <c r="G339" i="8"/>
  <c r="G225" i="8"/>
  <c r="G227" i="8" s="1"/>
  <c r="G291" i="8"/>
  <c r="G102" i="5"/>
  <c r="G306" i="8"/>
  <c r="H226" i="8"/>
  <c r="H21" i="2"/>
  <c r="H45" i="2" s="1"/>
  <c r="H292" i="8"/>
  <c r="H309" i="8"/>
  <c r="H307" i="8"/>
  <c r="K68" i="18"/>
  <c r="I308" i="8"/>
  <c r="I103" i="5" s="1"/>
  <c r="AH131" i="8"/>
  <c r="S349" i="8"/>
  <c r="T121" i="8"/>
  <c r="R348" i="8"/>
  <c r="S133" i="8"/>
  <c r="L37" i="5" l="1"/>
  <c r="L38" i="5" s="1"/>
  <c r="L39" i="5" s="1"/>
  <c r="G109" i="5"/>
  <c r="E109" i="5"/>
  <c r="M113" i="5"/>
  <c r="D109" i="5"/>
  <c r="F109" i="5"/>
  <c r="S10" i="6"/>
  <c r="S11" i="6" s="1"/>
  <c r="M48" i="5"/>
  <c r="M114" i="5"/>
  <c r="N103" i="8"/>
  <c r="N58" i="8"/>
  <c r="AH350" i="8"/>
  <c r="AI127" i="8"/>
  <c r="AI128" i="8" s="1"/>
  <c r="AI129" i="8" s="1"/>
  <c r="AI350" i="8" s="1"/>
  <c r="AI88" i="8"/>
  <c r="AI89" i="8" s="1"/>
  <c r="G115" i="5"/>
  <c r="C116" i="5"/>
  <c r="C115" i="5"/>
  <c r="C12" i="7" s="1"/>
  <c r="C13" i="7" s="1"/>
  <c r="C14" i="7" s="1"/>
  <c r="B115" i="5"/>
  <c r="B12" i="7" s="1"/>
  <c r="B13" i="7" s="1"/>
  <c r="B14" i="7" s="1"/>
  <c r="B15" i="7" s="1"/>
  <c r="E115" i="5"/>
  <c r="B116" i="5"/>
  <c r="D115" i="5"/>
  <c r="D116" i="5"/>
  <c r="E116" i="5"/>
  <c r="F115" i="5"/>
  <c r="F116" i="5"/>
  <c r="G116" i="5"/>
  <c r="AI114" i="8"/>
  <c r="AI115" i="8" s="1"/>
  <c r="I116" i="5"/>
  <c r="I292" i="8"/>
  <c r="I226" i="8"/>
  <c r="I21" i="2"/>
  <c r="I45" i="2" s="1"/>
  <c r="H291" i="8"/>
  <c r="H102" i="5"/>
  <c r="H109" i="5" s="1"/>
  <c r="H339" i="8"/>
  <c r="H225" i="8"/>
  <c r="H227" i="8" s="1"/>
  <c r="H306" i="8"/>
  <c r="H115" i="5"/>
  <c r="H122" i="5" s="1"/>
  <c r="J308" i="8"/>
  <c r="J103" i="5" s="1"/>
  <c r="L68" i="18"/>
  <c r="I309" i="8"/>
  <c r="I307" i="8"/>
  <c r="G14" i="6"/>
  <c r="S134" i="8"/>
  <c r="S135" i="8" s="1"/>
  <c r="S351" i="8" s="1"/>
  <c r="S34" i="2"/>
  <c r="S340" i="8"/>
  <c r="S10" i="2" s="1"/>
  <c r="T122" i="8"/>
  <c r="T123" i="8" s="1"/>
  <c r="AI131" i="8"/>
  <c r="M59" i="5" l="1"/>
  <c r="M34" i="5" s="1"/>
  <c r="D122" i="5"/>
  <c r="G122" i="5"/>
  <c r="E122" i="5"/>
  <c r="F122" i="5"/>
  <c r="N59" i="8"/>
  <c r="N60" i="8" s="1"/>
  <c r="N64" i="8"/>
  <c r="N65" i="8" s="1"/>
  <c r="N66" i="8" s="1"/>
  <c r="O101" i="8"/>
  <c r="C21" i="7"/>
  <c r="C23" i="7" s="1"/>
  <c r="C25" i="7" s="1"/>
  <c r="C28" i="7" s="1"/>
  <c r="C15" i="7"/>
  <c r="C20" i="7"/>
  <c r="C22" i="7" s="1"/>
  <c r="C24" i="7" s="1"/>
  <c r="C27" i="7" s="1"/>
  <c r="B21" i="7"/>
  <c r="B23" i="7" s="1"/>
  <c r="B25" i="7" s="1"/>
  <c r="B28" i="7" s="1"/>
  <c r="B20" i="7"/>
  <c r="B22" i="7" s="1"/>
  <c r="B24" i="7" s="1"/>
  <c r="B27" i="7" s="1"/>
  <c r="G15" i="6"/>
  <c r="G17" i="6" s="1"/>
  <c r="J307" i="8"/>
  <c r="J309" i="8"/>
  <c r="J21" i="2"/>
  <c r="J45" i="2" s="1"/>
  <c r="J116" i="5"/>
  <c r="J226" i="8"/>
  <c r="J292" i="8"/>
  <c r="H14" i="6"/>
  <c r="I291" i="8"/>
  <c r="I115" i="5"/>
  <c r="I122" i="5" s="1"/>
  <c r="I225" i="8"/>
  <c r="I227" i="8" s="1"/>
  <c r="I102" i="5"/>
  <c r="I109" i="5" s="1"/>
  <c r="I339" i="8"/>
  <c r="I306" i="8"/>
  <c r="K308" i="8"/>
  <c r="K103" i="5" s="1"/>
  <c r="M68" i="18"/>
  <c r="L308" i="8" s="1"/>
  <c r="U121" i="8"/>
  <c r="T349" i="8"/>
  <c r="T133" i="8"/>
  <c r="S348" i="8"/>
  <c r="M35" i="5" l="1"/>
  <c r="M36" i="5"/>
  <c r="L226" i="8"/>
  <c r="L103" i="5"/>
  <c r="T10" i="6"/>
  <c r="T11" i="6" s="1"/>
  <c r="M37" i="5"/>
  <c r="M38" i="5" s="1"/>
  <c r="M39" i="5" s="1"/>
  <c r="N70" i="8"/>
  <c r="N71" i="8" s="1"/>
  <c r="N72" i="8" s="1"/>
  <c r="O102" i="8"/>
  <c r="C33" i="7"/>
  <c r="C34" i="7" s="1"/>
  <c r="C110" i="5"/>
  <c r="C123" i="5"/>
  <c r="C36" i="7"/>
  <c r="C37" i="7" s="1"/>
  <c r="B33" i="7"/>
  <c r="B34" i="7" s="1"/>
  <c r="B110" i="5"/>
  <c r="B36" i="7"/>
  <c r="B37" i="7" s="1"/>
  <c r="B123" i="5"/>
  <c r="L116" i="5"/>
  <c r="L292" i="8"/>
  <c r="L21" i="2"/>
  <c r="L45" i="2" s="1"/>
  <c r="K116" i="5"/>
  <c r="K21" i="2"/>
  <c r="K45" i="2" s="1"/>
  <c r="K226" i="8"/>
  <c r="K292" i="8"/>
  <c r="K307" i="8"/>
  <c r="K309" i="8"/>
  <c r="I14" i="6"/>
  <c r="H15" i="6"/>
  <c r="H17" i="6" s="1"/>
  <c r="J291" i="8"/>
  <c r="J306" i="8"/>
  <c r="J339" i="8"/>
  <c r="J225" i="8"/>
  <c r="J227" i="8" s="1"/>
  <c r="J115" i="5"/>
  <c r="J122" i="5" s="1"/>
  <c r="J102" i="5"/>
  <c r="J109" i="5" s="1"/>
  <c r="N68" i="18"/>
  <c r="M308" i="8" s="1"/>
  <c r="M103" i="5" s="1"/>
  <c r="T134" i="8"/>
  <c r="T135" i="8" s="1"/>
  <c r="T351" i="8" s="1"/>
  <c r="T34" i="2"/>
  <c r="T340" i="8"/>
  <c r="T10" i="2" s="1"/>
  <c r="U122" i="8"/>
  <c r="U123" i="8" s="1"/>
  <c r="N113" i="5" l="1"/>
  <c r="N48" i="5"/>
  <c r="N114" i="5"/>
  <c r="O103" i="8"/>
  <c r="O58" i="8"/>
  <c r="C38" i="7"/>
  <c r="C39" i="7" s="1"/>
  <c r="B38" i="7"/>
  <c r="B39" i="7" s="1"/>
  <c r="C89" i="5"/>
  <c r="C87" i="5"/>
  <c r="C151" i="5" s="1"/>
  <c r="C88" i="5"/>
  <c r="B93" i="5"/>
  <c r="B92" i="5"/>
  <c r="B91" i="5"/>
  <c r="B155" i="5" s="1"/>
  <c r="B89" i="5"/>
  <c r="B88" i="5"/>
  <c r="B87" i="5"/>
  <c r="B151" i="5" s="1"/>
  <c r="C92" i="5"/>
  <c r="C93" i="5"/>
  <c r="C91" i="5"/>
  <c r="C155" i="5" s="1"/>
  <c r="M292" i="8"/>
  <c r="I15" i="6"/>
  <c r="I17" i="6" s="1"/>
  <c r="M116" i="5"/>
  <c r="M21" i="2"/>
  <c r="M45" i="2" s="1"/>
  <c r="M226" i="8"/>
  <c r="J14" i="6"/>
  <c r="K339" i="8"/>
  <c r="K115" i="5"/>
  <c r="K122" i="5" s="1"/>
  <c r="K102" i="5"/>
  <c r="K109" i="5" s="1"/>
  <c r="K291" i="8"/>
  <c r="K306" i="8"/>
  <c r="K225" i="8"/>
  <c r="K227" i="8" s="1"/>
  <c r="L307" i="8"/>
  <c r="L309" i="8"/>
  <c r="O68" i="18"/>
  <c r="T348" i="8"/>
  <c r="U133" i="8"/>
  <c r="V121" i="8"/>
  <c r="U349" i="8"/>
  <c r="N59" i="5" l="1"/>
  <c r="N36" i="5" s="1"/>
  <c r="U10" i="6"/>
  <c r="U11" i="6" s="1"/>
  <c r="B319" i="8"/>
  <c r="B152" i="5"/>
  <c r="B325" i="8"/>
  <c r="B157" i="5"/>
  <c r="B320" i="8"/>
  <c r="B153" i="5"/>
  <c r="B154" i="5" s="1"/>
  <c r="B324" i="8"/>
  <c r="B156" i="5"/>
  <c r="B158" i="5" s="1"/>
  <c r="B159" i="5" s="1"/>
  <c r="B160" i="5" s="1"/>
  <c r="C324" i="8"/>
  <c r="C156" i="5"/>
  <c r="C319" i="8"/>
  <c r="C152" i="5"/>
  <c r="C320" i="8"/>
  <c r="C153" i="5"/>
  <c r="C325" i="8"/>
  <c r="C157" i="5"/>
  <c r="N34" i="5"/>
  <c r="O59" i="8"/>
  <c r="O60" i="8" s="1"/>
  <c r="O64" i="8"/>
  <c r="O65" i="8" s="1"/>
  <c r="O66" i="8" s="1"/>
  <c r="P101" i="8"/>
  <c r="C94" i="5"/>
  <c r="C323" i="8"/>
  <c r="B90" i="5"/>
  <c r="B318" i="8"/>
  <c r="B323" i="8"/>
  <c r="B94" i="5"/>
  <c r="C90" i="5"/>
  <c r="C318" i="8"/>
  <c r="J15" i="6"/>
  <c r="J17" i="6" s="1"/>
  <c r="P68" i="18"/>
  <c r="Q68" i="18" s="1"/>
  <c r="P308" i="8" s="1"/>
  <c r="P103" i="5" s="1"/>
  <c r="N308" i="8"/>
  <c r="N103" i="5" s="1"/>
  <c r="L115" i="5"/>
  <c r="L122" i="5" s="1"/>
  <c r="L102" i="5"/>
  <c r="L109" i="5" s="1"/>
  <c r="L291" i="8"/>
  <c r="L339" i="8"/>
  <c r="L225" i="8"/>
  <c r="L227" i="8" s="1"/>
  <c r="L306" i="8"/>
  <c r="K14" i="6"/>
  <c r="M309" i="8"/>
  <c r="M307" i="8"/>
  <c r="U134" i="8"/>
  <c r="U135" i="8" s="1"/>
  <c r="U351" i="8" s="1"/>
  <c r="U340" i="8"/>
  <c r="U10" i="2" s="1"/>
  <c r="U34" i="2"/>
  <c r="V122" i="8"/>
  <c r="V123" i="8" s="1"/>
  <c r="N35" i="5" l="1"/>
  <c r="N37" i="5" s="1"/>
  <c r="N38" i="5" s="1"/>
  <c r="N39" i="5" s="1"/>
  <c r="C154" i="5"/>
  <c r="C158" i="5"/>
  <c r="O70" i="8"/>
  <c r="O71" i="8" s="1"/>
  <c r="O72" i="8" s="1"/>
  <c r="P102" i="8"/>
  <c r="C95" i="5"/>
  <c r="C221" i="8" s="1"/>
  <c r="B95" i="5"/>
  <c r="B354" i="8" s="1"/>
  <c r="B259" i="8" s="1"/>
  <c r="K15" i="6"/>
  <c r="K17" i="6" s="1"/>
  <c r="N307" i="8"/>
  <c r="N309" i="8"/>
  <c r="N21" i="2"/>
  <c r="N45" i="2" s="1"/>
  <c r="N116" i="5"/>
  <c r="N292" i="8"/>
  <c r="N226" i="8"/>
  <c r="M102" i="5"/>
  <c r="M109" i="5" s="1"/>
  <c r="M306" i="8"/>
  <c r="M225" i="8"/>
  <c r="M227" i="8" s="1"/>
  <c r="M339" i="8"/>
  <c r="M115" i="5"/>
  <c r="M122" i="5" s="1"/>
  <c r="M291" i="8"/>
  <c r="L14" i="6"/>
  <c r="P226" i="8"/>
  <c r="P116" i="5"/>
  <c r="P21" i="2"/>
  <c r="P45" i="2" s="1"/>
  <c r="P292" i="8"/>
  <c r="O308" i="8"/>
  <c r="O103" i="5" s="1"/>
  <c r="R68" i="18"/>
  <c r="U348" i="8"/>
  <c r="V133" i="8"/>
  <c r="V349" i="8"/>
  <c r="W121" i="8"/>
  <c r="O113" i="5" l="1"/>
  <c r="B54" i="2"/>
  <c r="G8" i="23"/>
  <c r="G7" i="23"/>
  <c r="B53" i="2"/>
  <c r="C159" i="5"/>
  <c r="C33" i="2" s="1"/>
  <c r="V10" i="6"/>
  <c r="V11" i="6" s="1"/>
  <c r="B236" i="8"/>
  <c r="B238" i="8" s="1"/>
  <c r="B242" i="8" s="1"/>
  <c r="B287" i="8"/>
  <c r="B289" i="8" s="1"/>
  <c r="B33" i="2"/>
  <c r="O48" i="5"/>
  <c r="O114" i="5"/>
  <c r="P103" i="8"/>
  <c r="P58" i="8"/>
  <c r="C96" i="5"/>
  <c r="C354" i="8"/>
  <c r="C9" i="2"/>
  <c r="B9" i="2"/>
  <c r="B221" i="8"/>
  <c r="B96" i="5"/>
  <c r="O292" i="8"/>
  <c r="O116" i="5"/>
  <c r="O21" i="2"/>
  <c r="O45" i="2" s="1"/>
  <c r="O226" i="8"/>
  <c r="O307" i="8"/>
  <c r="O309" i="8"/>
  <c r="Q308" i="8"/>
  <c r="Q103" i="5" s="1"/>
  <c r="S68" i="18"/>
  <c r="L15" i="6"/>
  <c r="L17" i="6" s="1"/>
  <c r="M14" i="6"/>
  <c r="N291" i="8"/>
  <c r="N339" i="8"/>
  <c r="N225" i="8"/>
  <c r="N227" i="8" s="1"/>
  <c r="N115" i="5"/>
  <c r="N122" i="5" s="1"/>
  <c r="N102" i="5"/>
  <c r="N109" i="5" s="1"/>
  <c r="N306" i="8"/>
  <c r="V134" i="8"/>
  <c r="V135" i="8" s="1"/>
  <c r="V351" i="8" s="1"/>
  <c r="V340" i="8"/>
  <c r="V10" i="2" s="1"/>
  <c r="V34" i="2"/>
  <c r="W122" i="8"/>
  <c r="W123" i="8" s="1"/>
  <c r="O59" i="5" l="1"/>
  <c r="O34" i="5" s="1"/>
  <c r="B52" i="2"/>
  <c r="B64" i="2" s="1"/>
  <c r="G6" i="23"/>
  <c r="G18" i="23" s="1"/>
  <c r="C236" i="8"/>
  <c r="C238" i="8" s="1"/>
  <c r="C242" i="8" s="1"/>
  <c r="C287" i="8"/>
  <c r="C289" i="8" s="1"/>
  <c r="C160" i="5"/>
  <c r="B14" i="21"/>
  <c r="B32" i="2"/>
  <c r="B36" i="2" s="1"/>
  <c r="O36" i="5"/>
  <c r="P59" i="8"/>
  <c r="P60" i="8" s="1"/>
  <c r="P64" i="8"/>
  <c r="P65" i="8" s="1"/>
  <c r="P66" i="8" s="1"/>
  <c r="Q101" i="8"/>
  <c r="C259" i="8"/>
  <c r="N14" i="6"/>
  <c r="M15" i="6"/>
  <c r="M17" i="6" s="1"/>
  <c r="Q21" i="2"/>
  <c r="Q45" i="2" s="1"/>
  <c r="Q226" i="8"/>
  <c r="Q116" i="5"/>
  <c r="Q292" i="8"/>
  <c r="O339" i="8"/>
  <c r="O225" i="8"/>
  <c r="O227" i="8" s="1"/>
  <c r="O291" i="8"/>
  <c r="O102" i="5"/>
  <c r="O109" i="5" s="1"/>
  <c r="O115" i="5"/>
  <c r="O122" i="5" s="1"/>
  <c r="O306" i="8"/>
  <c r="R308" i="8"/>
  <c r="R103" i="5" s="1"/>
  <c r="T68" i="18"/>
  <c r="P309" i="8"/>
  <c r="P307" i="8"/>
  <c r="V348" i="8"/>
  <c r="W133" i="8"/>
  <c r="X121" i="8"/>
  <c r="W349" i="8"/>
  <c r="B15" i="21" l="1"/>
  <c r="B25" i="21" s="1"/>
  <c r="O35" i="5"/>
  <c r="O37" i="5" s="1"/>
  <c r="O38" i="5" s="1"/>
  <c r="O39" i="5" s="1"/>
  <c r="C32" i="2"/>
  <c r="C36" i="2" s="1"/>
  <c r="C14" i="21"/>
  <c r="C15" i="21" s="1"/>
  <c r="C25" i="21" s="1"/>
  <c r="W10" i="6"/>
  <c r="W11" i="6" s="1"/>
  <c r="P70" i="8"/>
  <c r="P71" i="8" s="1"/>
  <c r="P72" i="8" s="1"/>
  <c r="Q102" i="8"/>
  <c r="Q307" i="8"/>
  <c r="Q309" i="8"/>
  <c r="R116" i="5"/>
  <c r="R21" i="2"/>
  <c r="R45" i="2" s="1"/>
  <c r="R226" i="8"/>
  <c r="R292" i="8"/>
  <c r="N15" i="6"/>
  <c r="N17" i="6" s="1"/>
  <c r="P306" i="8"/>
  <c r="P225" i="8"/>
  <c r="P227" i="8" s="1"/>
  <c r="P339" i="8"/>
  <c r="P102" i="5"/>
  <c r="P109" i="5" s="1"/>
  <c r="P291" i="8"/>
  <c r="P115" i="5"/>
  <c r="S308" i="8"/>
  <c r="S103" i="5" s="1"/>
  <c r="U68" i="18"/>
  <c r="T308" i="8" s="1"/>
  <c r="O14" i="6"/>
  <c r="X122" i="8"/>
  <c r="X123" i="8" s="1"/>
  <c r="W134" i="8"/>
  <c r="W135" i="8" s="1"/>
  <c r="W351" i="8" s="1"/>
  <c r="W340" i="8"/>
  <c r="W10" i="2" s="1"/>
  <c r="W34" i="2"/>
  <c r="P113" i="5" l="1"/>
  <c r="T226" i="8"/>
  <c r="T103" i="5"/>
  <c r="P114" i="5"/>
  <c r="P48" i="5"/>
  <c r="Q103" i="8"/>
  <c r="Q58" i="8"/>
  <c r="T116" i="5"/>
  <c r="T292" i="8"/>
  <c r="Q291" i="8"/>
  <c r="Q225" i="8"/>
  <c r="Q227" i="8" s="1"/>
  <c r="Q339" i="8"/>
  <c r="Q115" i="5"/>
  <c r="Q102" i="5"/>
  <c r="Q109" i="5" s="1"/>
  <c r="Q306" i="8"/>
  <c r="T21" i="2"/>
  <c r="T45" i="2" s="1"/>
  <c r="O15" i="6"/>
  <c r="O17" i="6" s="1"/>
  <c r="S226" i="8"/>
  <c r="S116" i="5"/>
  <c r="S21" i="2"/>
  <c r="S45" i="2" s="1"/>
  <c r="S292" i="8"/>
  <c r="P14" i="6"/>
  <c r="R307" i="8"/>
  <c r="R309" i="8"/>
  <c r="V68" i="18"/>
  <c r="X349" i="8"/>
  <c r="Y121" i="8"/>
  <c r="X133" i="8"/>
  <c r="W348" i="8"/>
  <c r="P122" i="5" l="1"/>
  <c r="P59" i="5"/>
  <c r="P35" i="5" s="1"/>
  <c r="X10" i="6"/>
  <c r="X11" i="6" s="1"/>
  <c r="Q59" i="8"/>
  <c r="Q60" i="8" s="1"/>
  <c r="Q64" i="8"/>
  <c r="Q65" i="8" s="1"/>
  <c r="Q66" i="8" s="1"/>
  <c r="R101" i="8"/>
  <c r="U308" i="8"/>
  <c r="U103" i="5" s="1"/>
  <c r="W68" i="18"/>
  <c r="R339" i="8"/>
  <c r="R102" i="5"/>
  <c r="R109" i="5" s="1"/>
  <c r="R306" i="8"/>
  <c r="R115" i="5"/>
  <c r="R291" i="8"/>
  <c r="R225" i="8"/>
  <c r="R227" i="8" s="1"/>
  <c r="P15" i="6"/>
  <c r="P17" i="6" s="1"/>
  <c r="Q14" i="6"/>
  <c r="S307" i="8"/>
  <c r="S309" i="8"/>
  <c r="Y122" i="8"/>
  <c r="Y123" i="8" s="1"/>
  <c r="X134" i="8"/>
  <c r="X135" i="8" s="1"/>
  <c r="X351" i="8" s="1"/>
  <c r="X340" i="8"/>
  <c r="X10" i="2" s="1"/>
  <c r="X34" i="2"/>
  <c r="P36" i="5" l="1"/>
  <c r="P34" i="5"/>
  <c r="P37" i="5" s="1"/>
  <c r="P38" i="5" s="1"/>
  <c r="P39" i="5" s="1"/>
  <c r="Q70" i="8"/>
  <c r="R102" i="8"/>
  <c r="Q15" i="6"/>
  <c r="Q17" i="6" s="1"/>
  <c r="S225" i="8"/>
  <c r="S227" i="8" s="1"/>
  <c r="S339" i="8"/>
  <c r="S291" i="8"/>
  <c r="S115" i="5"/>
  <c r="S102" i="5"/>
  <c r="S109" i="5" s="1"/>
  <c r="S306" i="8"/>
  <c r="R14" i="6"/>
  <c r="U21" i="2"/>
  <c r="U45" i="2" s="1"/>
  <c r="U292" i="8"/>
  <c r="U226" i="8"/>
  <c r="U116" i="5"/>
  <c r="T309" i="8"/>
  <c r="T307" i="8"/>
  <c r="V308" i="8"/>
  <c r="V103" i="5" s="1"/>
  <c r="X68" i="18"/>
  <c r="X348" i="8"/>
  <c r="Y133" i="8"/>
  <c r="Y349" i="8"/>
  <c r="Z121" i="8"/>
  <c r="Q71" i="8" l="1"/>
  <c r="Q72" i="8" s="1"/>
  <c r="Q113" i="5"/>
  <c r="Y10" i="6"/>
  <c r="Y11" i="6" s="1"/>
  <c r="Q48" i="5"/>
  <c r="Q114" i="5"/>
  <c r="R58" i="8"/>
  <c r="R103" i="8"/>
  <c r="V292" i="8"/>
  <c r="V21" i="2"/>
  <c r="V45" i="2" s="1"/>
  <c r="V226" i="8"/>
  <c r="V116" i="5"/>
  <c r="U309" i="8"/>
  <c r="U307" i="8"/>
  <c r="R15" i="6"/>
  <c r="R17" i="6" s="1"/>
  <c r="W308" i="8"/>
  <c r="W103" i="5" s="1"/>
  <c r="Y68" i="18"/>
  <c r="X308" i="8" s="1"/>
  <c r="X103" i="5" s="1"/>
  <c r="T306" i="8"/>
  <c r="T115" i="5"/>
  <c r="T102" i="5"/>
  <c r="T109" i="5" s="1"/>
  <c r="T225" i="8"/>
  <c r="T227" i="8" s="1"/>
  <c r="T339" i="8"/>
  <c r="T291" i="8"/>
  <c r="S14" i="6"/>
  <c r="Z122" i="8"/>
  <c r="Z123" i="8" s="1"/>
  <c r="Y134" i="8"/>
  <c r="Y135" i="8" s="1"/>
  <c r="Y351" i="8" s="1"/>
  <c r="Y34" i="2"/>
  <c r="Y340" i="8"/>
  <c r="Y10" i="2" s="1"/>
  <c r="Q122" i="5" l="1"/>
  <c r="Q59" i="5"/>
  <c r="Q34" i="5" s="1"/>
  <c r="R59" i="8"/>
  <c r="R60" i="8" s="1"/>
  <c r="S101" i="8"/>
  <c r="R64" i="8"/>
  <c r="R65" i="8" s="1"/>
  <c r="R66" i="8" s="1"/>
  <c r="X21" i="2"/>
  <c r="X45" i="2" s="1"/>
  <c r="X116" i="5"/>
  <c r="X292" i="8"/>
  <c r="X226" i="8"/>
  <c r="U102" i="5"/>
  <c r="U109" i="5" s="1"/>
  <c r="U339" i="8"/>
  <c r="U225" i="8"/>
  <c r="U227" i="8" s="1"/>
  <c r="U291" i="8"/>
  <c r="U115" i="5"/>
  <c r="U306" i="8"/>
  <c r="Z68" i="18"/>
  <c r="S15" i="6"/>
  <c r="S17" i="6" s="1"/>
  <c r="T14" i="6"/>
  <c r="W116" i="5"/>
  <c r="W226" i="8"/>
  <c r="W21" i="2"/>
  <c r="W45" i="2" s="1"/>
  <c r="W292" i="8"/>
  <c r="V309" i="8"/>
  <c r="V307" i="8"/>
  <c r="AA121" i="8"/>
  <c r="Z349" i="8"/>
  <c r="Z133" i="8"/>
  <c r="Y348" i="8"/>
  <c r="Q36" i="5" l="1"/>
  <c r="Q35" i="5"/>
  <c r="Z10" i="6"/>
  <c r="Z11" i="6" s="1"/>
  <c r="R70" i="8"/>
  <c r="R71" i="8" s="1"/>
  <c r="R72" i="8" s="1"/>
  <c r="S102" i="8"/>
  <c r="V115" i="5"/>
  <c r="V102" i="5"/>
  <c r="V109" i="5" s="1"/>
  <c r="V291" i="8"/>
  <c r="V339" i="8"/>
  <c r="V306" i="8"/>
  <c r="V225" i="8"/>
  <c r="V227" i="8" s="1"/>
  <c r="Y308" i="8"/>
  <c r="Y103" i="5" s="1"/>
  <c r="AA68" i="18"/>
  <c r="W309" i="8"/>
  <c r="W307" i="8"/>
  <c r="T15" i="6"/>
  <c r="T17" i="6" s="1"/>
  <c r="U14" i="6"/>
  <c r="Z134" i="8"/>
  <c r="Z135" i="8" s="1"/>
  <c r="Z351" i="8" s="1"/>
  <c r="Z34" i="2"/>
  <c r="Z340" i="8"/>
  <c r="Z10" i="2" s="1"/>
  <c r="AA122" i="8"/>
  <c r="AA123" i="8" s="1"/>
  <c r="R113" i="5" l="1"/>
  <c r="Q37" i="5"/>
  <c r="Q38" i="5" s="1"/>
  <c r="Q39" i="5" s="1"/>
  <c r="R114" i="5"/>
  <c r="R122" i="5" s="1"/>
  <c r="R48" i="5"/>
  <c r="S58" i="8"/>
  <c r="S103" i="8"/>
  <c r="W115" i="5"/>
  <c r="W102" i="5"/>
  <c r="W109" i="5" s="1"/>
  <c r="W306" i="8"/>
  <c r="W225" i="8"/>
  <c r="W227" i="8" s="1"/>
  <c r="W339" i="8"/>
  <c r="W291" i="8"/>
  <c r="U15" i="6"/>
  <c r="U17" i="6" s="1"/>
  <c r="X309" i="8"/>
  <c r="X307" i="8"/>
  <c r="Y292" i="8"/>
  <c r="Y116" i="5"/>
  <c r="Y226" i="8"/>
  <c r="Y21" i="2"/>
  <c r="Y45" i="2" s="1"/>
  <c r="V14" i="6"/>
  <c r="Z308" i="8"/>
  <c r="Z103" i="5" s="1"/>
  <c r="AB68" i="18"/>
  <c r="AC68" i="18" s="1"/>
  <c r="AB308" i="8" s="1"/>
  <c r="AB103" i="5" s="1"/>
  <c r="AB121" i="8"/>
  <c r="AA349" i="8"/>
  <c r="Z348" i="8"/>
  <c r="AA133" i="8"/>
  <c r="R59" i="5" l="1"/>
  <c r="R36" i="5" s="1"/>
  <c r="AA10" i="6"/>
  <c r="AA11" i="6" s="1"/>
  <c r="S59" i="8"/>
  <c r="S60" i="8" s="1"/>
  <c r="T101" i="8"/>
  <c r="S64" i="8"/>
  <c r="S65" i="8" s="1"/>
  <c r="S66" i="8" s="1"/>
  <c r="V15" i="6"/>
  <c r="V17" i="6" s="1"/>
  <c r="Z292" i="8"/>
  <c r="Z116" i="5"/>
  <c r="Z21" i="2"/>
  <c r="Z45" i="2" s="1"/>
  <c r="Z226" i="8"/>
  <c r="Y307" i="8"/>
  <c r="Y309" i="8"/>
  <c r="AA308" i="8"/>
  <c r="AA103" i="5" s="1"/>
  <c r="X306" i="8"/>
  <c r="X339" i="8"/>
  <c r="X225" i="8"/>
  <c r="X227" i="8" s="1"/>
  <c r="X102" i="5"/>
  <c r="X109" i="5" s="1"/>
  <c r="X115" i="5"/>
  <c r="X291" i="8"/>
  <c r="AD68" i="18"/>
  <c r="W14" i="6"/>
  <c r="AB21" i="2"/>
  <c r="AB45" i="2" s="1"/>
  <c r="AB116" i="5"/>
  <c r="AB226" i="8"/>
  <c r="AB292" i="8"/>
  <c r="AB122" i="8"/>
  <c r="AB123" i="8" s="1"/>
  <c r="AA134" i="8"/>
  <c r="AA135" i="8" s="1"/>
  <c r="AA351" i="8" s="1"/>
  <c r="AA34" i="2"/>
  <c r="AA340" i="8"/>
  <c r="R34" i="5" l="1"/>
  <c r="R35" i="5"/>
  <c r="R37" i="5" s="1"/>
  <c r="R38" i="5" s="1"/>
  <c r="R39" i="5" s="1"/>
  <c r="S70" i="8"/>
  <c r="S71" i="8" s="1"/>
  <c r="S72" i="8" s="1"/>
  <c r="T102" i="8"/>
  <c r="W15" i="6"/>
  <c r="W17" i="6" s="1"/>
  <c r="AC308" i="8"/>
  <c r="AC103" i="5" s="1"/>
  <c r="X14" i="6"/>
  <c r="AE68" i="18"/>
  <c r="Y115" i="5"/>
  <c r="Y339" i="8"/>
  <c r="Y102" i="5"/>
  <c r="Y109" i="5" s="1"/>
  <c r="Y306" i="8"/>
  <c r="Y291" i="8"/>
  <c r="Y225" i="8"/>
  <c r="Y227" i="8" s="1"/>
  <c r="AA226" i="8"/>
  <c r="AA116" i="5"/>
  <c r="AA292" i="8"/>
  <c r="AA21" i="2"/>
  <c r="AA45" i="2" s="1"/>
  <c r="Z309" i="8"/>
  <c r="Z307" i="8"/>
  <c r="AA10" i="2"/>
  <c r="AA348" i="8"/>
  <c r="AB133" i="8"/>
  <c r="AC121" i="8"/>
  <c r="AB349" i="8"/>
  <c r="S113" i="5" l="1"/>
  <c r="AB10" i="6"/>
  <c r="AB11" i="6" s="1"/>
  <c r="S48" i="5"/>
  <c r="S114" i="5"/>
  <c r="S122" i="5" s="1"/>
  <c r="T58" i="8"/>
  <c r="T103" i="8"/>
  <c r="Z306" i="8"/>
  <c r="Z102" i="5"/>
  <c r="Z109" i="5" s="1"/>
  <c r="Z339" i="8"/>
  <c r="Z115" i="5"/>
  <c r="Z225" i="8"/>
  <c r="Z227" i="8" s="1"/>
  <c r="Z291" i="8"/>
  <c r="AC21" i="2"/>
  <c r="AC45" i="2" s="1"/>
  <c r="AC292" i="8"/>
  <c r="AC226" i="8"/>
  <c r="AC116" i="5"/>
  <c r="AA309" i="8"/>
  <c r="AA307" i="8"/>
  <c r="Y14" i="6"/>
  <c r="AD308" i="8"/>
  <c r="AD103" i="5" s="1"/>
  <c r="X15" i="6"/>
  <c r="X17" i="6" s="1"/>
  <c r="AF68" i="18"/>
  <c r="AG68" i="18" s="1"/>
  <c r="AC122" i="8"/>
  <c r="AC123" i="8" s="1"/>
  <c r="AB134" i="8"/>
  <c r="AB135" i="8" s="1"/>
  <c r="AB351" i="8" s="1"/>
  <c r="AB340" i="8"/>
  <c r="AB34" i="2"/>
  <c r="S59" i="5" l="1"/>
  <c r="S35" i="5" s="1"/>
  <c r="T59" i="8"/>
  <c r="T60" i="8" s="1"/>
  <c r="U101" i="8"/>
  <c r="T64" i="8"/>
  <c r="T65" i="8" s="1"/>
  <c r="T66" i="8" s="1"/>
  <c r="AF308" i="8"/>
  <c r="AF103" i="5" s="1"/>
  <c r="AD21" i="2"/>
  <c r="AD45" i="2" s="1"/>
  <c r="AD116" i="5"/>
  <c r="AD226" i="8"/>
  <c r="AD292" i="8"/>
  <c r="AB309" i="8"/>
  <c r="AB307" i="8"/>
  <c r="Z14" i="6"/>
  <c r="Y15" i="6"/>
  <c r="Y17" i="6" s="1"/>
  <c r="AA115" i="5"/>
  <c r="AA102" i="5"/>
  <c r="AA109" i="5" s="1"/>
  <c r="AA291" i="8"/>
  <c r="AA339" i="8"/>
  <c r="AA306" i="8"/>
  <c r="AA225" i="8"/>
  <c r="AA227" i="8" s="1"/>
  <c r="AE308" i="8"/>
  <c r="AE103" i="5" s="1"/>
  <c r="AH68" i="18"/>
  <c r="AG308" i="8" s="1"/>
  <c r="AB10" i="2"/>
  <c r="AD121" i="8"/>
  <c r="AC349" i="8"/>
  <c r="AC133" i="8"/>
  <c r="AB348" i="8"/>
  <c r="S34" i="5" l="1"/>
  <c r="S36" i="5"/>
  <c r="S37" i="5" s="1"/>
  <c r="S38" i="5" s="1"/>
  <c r="S39" i="5" s="1"/>
  <c r="AG292" i="8"/>
  <c r="AG103" i="5"/>
  <c r="AC10" i="6"/>
  <c r="AC11" i="6" s="1"/>
  <c r="U102" i="8"/>
  <c r="T70" i="8"/>
  <c r="T71" i="8" s="1"/>
  <c r="T72" i="8" s="1"/>
  <c r="AG116" i="5"/>
  <c r="AG226" i="8"/>
  <c r="AG21" i="2"/>
  <c r="AG45" i="2" s="1"/>
  <c r="AI68" i="18"/>
  <c r="AA14" i="6"/>
  <c r="Z15" i="6"/>
  <c r="Z17" i="6" s="1"/>
  <c r="AB102" i="5"/>
  <c r="AB109" i="5" s="1"/>
  <c r="AB225" i="8"/>
  <c r="AB227" i="8" s="1"/>
  <c r="AB291" i="8"/>
  <c r="AB306" i="8"/>
  <c r="AB115" i="5"/>
  <c r="AB339" i="8"/>
  <c r="AF226" i="8"/>
  <c r="AF116" i="5"/>
  <c r="AF21" i="2"/>
  <c r="AF45" i="2" s="1"/>
  <c r="AF292" i="8"/>
  <c r="AE292" i="8"/>
  <c r="AE226" i="8"/>
  <c r="AE21" i="2"/>
  <c r="AE45" i="2" s="1"/>
  <c r="AE116" i="5"/>
  <c r="AC309" i="8"/>
  <c r="AC307" i="8"/>
  <c r="AC134" i="8"/>
  <c r="AC135" i="8" s="1"/>
  <c r="AC351" i="8" s="1"/>
  <c r="AC34" i="2"/>
  <c r="AC340" i="8"/>
  <c r="AD122" i="8"/>
  <c r="AD123" i="8" s="1"/>
  <c r="T113" i="5" l="1"/>
  <c r="T48" i="5"/>
  <c r="T114" i="5"/>
  <c r="T122" i="5" s="1"/>
  <c r="U58" i="8"/>
  <c r="U103" i="8"/>
  <c r="AA15" i="6"/>
  <c r="AA17" i="6" s="1"/>
  <c r="AH308" i="8"/>
  <c r="AH103" i="5" s="1"/>
  <c r="AJ68" i="18"/>
  <c r="AC339" i="8"/>
  <c r="AC291" i="8"/>
  <c r="AC306" i="8"/>
  <c r="AC115" i="5"/>
  <c r="AC102" i="5"/>
  <c r="AC109" i="5" s="1"/>
  <c r="AC225" i="8"/>
  <c r="AC227" i="8" s="1"/>
  <c r="AD307" i="8"/>
  <c r="AD309" i="8"/>
  <c r="AB14" i="6"/>
  <c r="AC10" i="2"/>
  <c r="AC348" i="8"/>
  <c r="AD133" i="8"/>
  <c r="AE121" i="8"/>
  <c r="AD349" i="8"/>
  <c r="T59" i="5" l="1"/>
  <c r="T36" i="5" s="1"/>
  <c r="AD10" i="6"/>
  <c r="AD11" i="6" s="1"/>
  <c r="U59" i="8"/>
  <c r="U60" i="8" s="1"/>
  <c r="U64" i="8"/>
  <c r="U65" i="8" s="1"/>
  <c r="U66" i="8" s="1"/>
  <c r="V101" i="8"/>
  <c r="AH21" i="2"/>
  <c r="AH45" i="2" s="1"/>
  <c r="AH226" i="8"/>
  <c r="AH116" i="5"/>
  <c r="AH292" i="8"/>
  <c r="AK68" i="18"/>
  <c r="AI308" i="8"/>
  <c r="AI103" i="5" s="1"/>
  <c r="AC14" i="6"/>
  <c r="AB15" i="6"/>
  <c r="AB17" i="6" s="1"/>
  <c r="AE309" i="8"/>
  <c r="AE307" i="8"/>
  <c r="AD115" i="5"/>
  <c r="AD291" i="8"/>
  <c r="AD225" i="8"/>
  <c r="AD227" i="8" s="1"/>
  <c r="AD339" i="8"/>
  <c r="AD102" i="5"/>
  <c r="AD109" i="5" s="1"/>
  <c r="AD306" i="8"/>
  <c r="AD134" i="8"/>
  <c r="AD135" i="8" s="1"/>
  <c r="AD351" i="8" s="1"/>
  <c r="AD34" i="2"/>
  <c r="AD340" i="8"/>
  <c r="AE122" i="8"/>
  <c r="AE123" i="8" s="1"/>
  <c r="T35" i="5" l="1"/>
  <c r="T34" i="5"/>
  <c r="T37" i="5" s="1"/>
  <c r="T38" i="5" s="1"/>
  <c r="T39" i="5" s="1"/>
  <c r="V102" i="8"/>
  <c r="U70" i="8"/>
  <c r="U71" i="8" s="1"/>
  <c r="U72" i="8" s="1"/>
  <c r="AI226" i="8"/>
  <c r="AI21" i="2"/>
  <c r="AI45" i="2" s="1"/>
  <c r="AI292" i="8"/>
  <c r="AI116" i="5"/>
  <c r="AF309" i="8"/>
  <c r="AF307" i="8"/>
  <c r="AD14" i="6"/>
  <c r="AE291" i="8"/>
  <c r="AE339" i="8"/>
  <c r="AE225" i="8"/>
  <c r="AE227" i="8" s="1"/>
  <c r="AE115" i="5"/>
  <c r="AE102" i="5"/>
  <c r="AE109" i="5" s="1"/>
  <c r="AE306" i="8"/>
  <c r="AC15" i="6"/>
  <c r="AC17" i="6" s="1"/>
  <c r="AD10" i="2"/>
  <c r="AE133" i="8"/>
  <c r="AD348" i="8"/>
  <c r="AE349" i="8"/>
  <c r="AF121" i="8"/>
  <c r="U113" i="5" l="1"/>
  <c r="AE10" i="6"/>
  <c r="AE11" i="6" s="1"/>
  <c r="U48" i="5"/>
  <c r="U114" i="5"/>
  <c r="U122" i="5" s="1"/>
  <c r="V103" i="8"/>
  <c r="V58" i="8"/>
  <c r="AG307" i="8"/>
  <c r="AG309" i="8"/>
  <c r="AE14" i="6"/>
  <c r="AD15" i="6"/>
  <c r="AD17" i="6" s="1"/>
  <c r="AF102" i="5"/>
  <c r="AF109" i="5" s="1"/>
  <c r="AF291" i="8"/>
  <c r="AF306" i="8"/>
  <c r="AF225" i="8"/>
  <c r="AF227" i="8" s="1"/>
  <c r="AF339" i="8"/>
  <c r="AF115" i="5"/>
  <c r="AE134" i="8"/>
  <c r="AE135" i="8" s="1"/>
  <c r="AE340" i="8"/>
  <c r="AE34" i="2"/>
  <c r="AF122" i="8"/>
  <c r="AF123" i="8" s="1"/>
  <c r="U59" i="5" l="1"/>
  <c r="U34" i="5" s="1"/>
  <c r="V59" i="8"/>
  <c r="V60" i="8" s="1"/>
  <c r="V64" i="8"/>
  <c r="V65" i="8" s="1"/>
  <c r="V66" i="8" s="1"/>
  <c r="W101" i="8"/>
  <c r="AE351" i="8"/>
  <c r="AE168" i="8"/>
  <c r="AH307" i="8"/>
  <c r="AH309" i="8"/>
  <c r="AE15" i="6"/>
  <c r="AE17" i="6" s="1"/>
  <c r="AG291" i="8"/>
  <c r="AG115" i="5"/>
  <c r="AG102" i="5"/>
  <c r="AG109" i="5" s="1"/>
  <c r="AG339" i="8"/>
  <c r="AG306" i="8"/>
  <c r="AG225" i="8"/>
  <c r="AG227" i="8" s="1"/>
  <c r="AF14" i="6"/>
  <c r="AE348" i="8"/>
  <c r="AF133" i="8"/>
  <c r="AE10" i="2"/>
  <c r="AG121" i="8"/>
  <c r="AF349" i="8"/>
  <c r="U36" i="5" l="1"/>
  <c r="U35" i="5"/>
  <c r="AD63" i="2"/>
  <c r="AI17" i="23"/>
  <c r="AF10" i="6"/>
  <c r="AF11" i="6" s="1"/>
  <c r="AF15" i="6" s="1"/>
  <c r="AF17" i="6" s="1"/>
  <c r="U37" i="5"/>
  <c r="U38" i="5" s="1"/>
  <c r="U39" i="5" s="1"/>
  <c r="W102" i="8"/>
  <c r="V70" i="8"/>
  <c r="V71" i="8" s="1"/>
  <c r="V72" i="8" s="1"/>
  <c r="AE288" i="8"/>
  <c r="AE237" i="8"/>
  <c r="AH102" i="5"/>
  <c r="AH109" i="5" s="1"/>
  <c r="AH225" i="8"/>
  <c r="AH227" i="8" s="1"/>
  <c r="AH339" i="8"/>
  <c r="AH291" i="8"/>
  <c r="AH115" i="5"/>
  <c r="AH306" i="8"/>
  <c r="AI309" i="8"/>
  <c r="AI307" i="8"/>
  <c r="AG14" i="6"/>
  <c r="AG122" i="8"/>
  <c r="AG123" i="8" s="1"/>
  <c r="AF134" i="8"/>
  <c r="AF135" i="8" s="1"/>
  <c r="AF34" i="2"/>
  <c r="AF340" i="8"/>
  <c r="V113" i="5" l="1"/>
  <c r="V114" i="5"/>
  <c r="V48" i="5"/>
  <c r="W103" i="8"/>
  <c r="W58" i="8"/>
  <c r="AF351" i="8"/>
  <c r="AF348" i="8" s="1"/>
  <c r="AF168" i="8"/>
  <c r="AI291" i="8"/>
  <c r="AI115" i="5"/>
  <c r="AI339" i="8"/>
  <c r="AI102" i="5"/>
  <c r="AI109" i="5" s="1"/>
  <c r="AI306" i="8"/>
  <c r="AI225" i="8"/>
  <c r="AI227" i="8" s="1"/>
  <c r="AH14" i="6"/>
  <c r="AG133" i="8"/>
  <c r="AF10" i="2"/>
  <c r="AH121" i="8"/>
  <c r="AG349" i="8"/>
  <c r="V59" i="5" l="1"/>
  <c r="V35" i="5" s="1"/>
  <c r="V122" i="5"/>
  <c r="AE63" i="2"/>
  <c r="AJ17" i="23"/>
  <c r="V34" i="5"/>
  <c r="V36" i="5"/>
  <c r="AG10" i="6"/>
  <c r="AG11" i="6" s="1"/>
  <c r="AG15" i="6" s="1"/>
  <c r="AG17" i="6" s="1"/>
  <c r="W59" i="8"/>
  <c r="W60" i="8" s="1"/>
  <c r="W64" i="8"/>
  <c r="W65" i="8" s="1"/>
  <c r="W66" i="8" s="1"/>
  <c r="X101" i="8"/>
  <c r="B170" i="8"/>
  <c r="AF288" i="8"/>
  <c r="AF237" i="8"/>
  <c r="AI14" i="6"/>
  <c r="AH122" i="8"/>
  <c r="AH123" i="8" s="1"/>
  <c r="AG134" i="8"/>
  <c r="AG135" i="8" s="1"/>
  <c r="AG34" i="2"/>
  <c r="AG340" i="8"/>
  <c r="V37" i="5" l="1"/>
  <c r="V38" i="5" s="1"/>
  <c r="V39" i="5" s="1"/>
  <c r="AK17" i="23"/>
  <c r="X102" i="8"/>
  <c r="W70" i="8"/>
  <c r="W71" i="8" s="1"/>
  <c r="W72" i="8" s="1"/>
  <c r="AG351" i="8"/>
  <c r="AG348" i="8" s="1"/>
  <c r="AG10" i="2"/>
  <c r="AH133" i="8"/>
  <c r="AH349" i="8"/>
  <c r="AI121" i="8"/>
  <c r="W113" i="5" l="1"/>
  <c r="H28" i="23"/>
  <c r="J28" i="23"/>
  <c r="AI11" i="6"/>
  <c r="AI15" i="6" s="1"/>
  <c r="AI17" i="6" s="1"/>
  <c r="AH10" i="6"/>
  <c r="AH11" i="6" s="1"/>
  <c r="AH15" i="6" s="1"/>
  <c r="AH17" i="6" s="1"/>
  <c r="W114" i="5"/>
  <c r="W48" i="5"/>
  <c r="X58" i="8"/>
  <c r="X103" i="8"/>
  <c r="AG237" i="8"/>
  <c r="AG288" i="8"/>
  <c r="AI122" i="8"/>
  <c r="AI123" i="8" s="1"/>
  <c r="AH134" i="8"/>
  <c r="AH135" i="8" s="1"/>
  <c r="AH34" i="2"/>
  <c r="AH340" i="8"/>
  <c r="W59" i="5" l="1"/>
  <c r="W34" i="5" s="1"/>
  <c r="W122" i="5"/>
  <c r="B5" i="14"/>
  <c r="W35" i="5"/>
  <c r="X59" i="8"/>
  <c r="X60" i="8" s="1"/>
  <c r="X64" i="8"/>
  <c r="X65" i="8" s="1"/>
  <c r="X66" i="8" s="1"/>
  <c r="Y101" i="8"/>
  <c r="AH237" i="8"/>
  <c r="AH351" i="8"/>
  <c r="AH348" i="8" s="1"/>
  <c r="AI349" i="8"/>
  <c r="AH10" i="2"/>
  <c r="AI133" i="8"/>
  <c r="W36" i="5" l="1"/>
  <c r="W37" i="5"/>
  <c r="W38" i="5" s="1"/>
  <c r="W39" i="5" s="1"/>
  <c r="Y102" i="8"/>
  <c r="X70" i="8"/>
  <c r="X71" i="8" s="1"/>
  <c r="X72" i="8" s="1"/>
  <c r="AH288" i="8"/>
  <c r="AI134" i="8"/>
  <c r="AI135" i="8" s="1"/>
  <c r="AI351" i="8" s="1"/>
  <c r="AI340" i="8"/>
  <c r="AI34" i="2"/>
  <c r="X113" i="5" l="1"/>
  <c r="X48" i="5"/>
  <c r="X114" i="5"/>
  <c r="Y58" i="8"/>
  <c r="Y103" i="8"/>
  <c r="AI348" i="8"/>
  <c r="AI10" i="2"/>
  <c r="X59" i="5" l="1"/>
  <c r="X36" i="5" s="1"/>
  <c r="X122" i="5"/>
  <c r="Y59" i="8"/>
  <c r="Y60" i="8" s="1"/>
  <c r="Y64" i="8"/>
  <c r="Y65" i="8" s="1"/>
  <c r="Y66" i="8" s="1"/>
  <c r="Z101" i="8"/>
  <c r="AI288" i="8"/>
  <c r="AI237" i="8"/>
  <c r="X35" i="5" l="1"/>
  <c r="X34" i="5"/>
  <c r="X37" i="5" s="1"/>
  <c r="X38" i="5" s="1"/>
  <c r="X39" i="5" s="1"/>
  <c r="Y70" i="8"/>
  <c r="Y71" i="8" s="1"/>
  <c r="Y72" i="8" s="1"/>
  <c r="Z102" i="8"/>
  <c r="Y113" i="5" l="1"/>
  <c r="Y48" i="5"/>
  <c r="Y114" i="5"/>
  <c r="Z58" i="8"/>
  <c r="Z103" i="8"/>
  <c r="B169" i="8"/>
  <c r="C13" i="13" s="1"/>
  <c r="D14" i="13"/>
  <c r="Y59" i="5" l="1"/>
  <c r="Y35" i="5" s="1"/>
  <c r="Y122" i="5"/>
  <c r="Z59" i="8"/>
  <c r="Z60" i="8" s="1"/>
  <c r="AA101" i="8"/>
  <c r="Z64" i="8"/>
  <c r="Z65" i="8" s="1"/>
  <c r="Z66" i="8" s="1"/>
  <c r="Y36" i="5" l="1"/>
  <c r="Y34" i="5"/>
  <c r="Y37" i="5" s="1"/>
  <c r="Y38" i="5" s="1"/>
  <c r="Y39" i="5" s="1"/>
  <c r="Z113" i="5"/>
  <c r="AA102" i="8"/>
  <c r="Z70" i="8"/>
  <c r="Z71" i="8" s="1"/>
  <c r="Z72" i="8" s="1"/>
  <c r="Z48" i="5" l="1"/>
  <c r="Z114" i="5"/>
  <c r="Z122" i="5" s="1"/>
  <c r="AA103" i="8"/>
  <c r="AA58" i="8"/>
  <c r="Z59" i="5" l="1"/>
  <c r="Z36" i="5" s="1"/>
  <c r="AA59" i="8"/>
  <c r="AA60" i="8" s="1"/>
  <c r="AB101" i="8"/>
  <c r="AA64" i="8"/>
  <c r="AA65" i="8" s="1"/>
  <c r="AA66" i="8" s="1"/>
  <c r="Z35" i="5" l="1"/>
  <c r="Z34" i="5"/>
  <c r="AA70" i="8"/>
  <c r="AA71" i="8" s="1"/>
  <c r="AA72" i="8" s="1"/>
  <c r="AB102" i="8"/>
  <c r="Z37" i="5" l="1"/>
  <c r="Z38" i="5" s="1"/>
  <c r="Z39" i="5" s="1"/>
  <c r="AA48" i="5"/>
  <c r="AA59" i="5" s="1"/>
  <c r="AA36" i="5" s="1"/>
  <c r="AA113" i="5"/>
  <c r="AA114" i="5"/>
  <c r="AB58" i="8"/>
  <c r="AB103" i="8"/>
  <c r="AA34" i="5" l="1"/>
  <c r="AA35" i="5"/>
  <c r="AA122" i="5"/>
  <c r="AA37" i="5"/>
  <c r="AA38" i="5" s="1"/>
  <c r="AA39" i="5" s="1"/>
  <c r="AB59" i="8"/>
  <c r="AB60" i="8" s="1"/>
  <c r="AC101" i="8"/>
  <c r="AB64" i="8"/>
  <c r="AB65" i="8" s="1"/>
  <c r="AB66" i="8" s="1"/>
  <c r="AB70" i="8" l="1"/>
  <c r="AB71" i="8" s="1"/>
  <c r="AB72" i="8" s="1"/>
  <c r="AC102" i="8"/>
  <c r="AB113" i="5" l="1"/>
  <c r="AB48" i="5"/>
  <c r="AB114" i="5"/>
  <c r="AC58" i="8"/>
  <c r="AC103" i="8"/>
  <c r="AB59" i="5" l="1"/>
  <c r="AB34" i="5" s="1"/>
  <c r="AB122" i="5"/>
  <c r="AC59" i="8"/>
  <c r="AC60" i="8" s="1"/>
  <c r="AD101" i="8"/>
  <c r="AC64" i="8"/>
  <c r="AC65" i="8" s="1"/>
  <c r="AC66" i="8" s="1"/>
  <c r="AB35" i="5" l="1"/>
  <c r="AB36" i="5"/>
  <c r="AB37" i="5" s="1"/>
  <c r="AB38" i="5" s="1"/>
  <c r="AB39" i="5" s="1"/>
  <c r="AC70" i="8"/>
  <c r="AC71" i="8" s="1"/>
  <c r="AC72" i="8" s="1"/>
  <c r="AD102" i="8"/>
  <c r="AC113" i="5" l="1"/>
  <c r="AC114" i="5"/>
  <c r="AC48" i="5"/>
  <c r="AD103" i="8"/>
  <c r="AD58" i="8"/>
  <c r="B164" i="5"/>
  <c r="AC59" i="5" l="1"/>
  <c r="AC36" i="5" s="1"/>
  <c r="AC122" i="5"/>
  <c r="AD59" i="8"/>
  <c r="AD60" i="8" s="1"/>
  <c r="AE101" i="8"/>
  <c r="AD64" i="8"/>
  <c r="AD65" i="8" s="1"/>
  <c r="AD66" i="8" s="1"/>
  <c r="C164" i="5"/>
  <c r="C166" i="5" s="1"/>
  <c r="AC34" i="5" l="1"/>
  <c r="AC35" i="5"/>
  <c r="AD70" i="8"/>
  <c r="AD71" i="8" s="1"/>
  <c r="AD72" i="8" s="1"/>
  <c r="AE102" i="8"/>
  <c r="AC37" i="5" l="1"/>
  <c r="AC38" i="5" s="1"/>
  <c r="AC39" i="5" s="1"/>
  <c r="AD113" i="5"/>
  <c r="AD48" i="5"/>
  <c r="AD114" i="5"/>
  <c r="AE103" i="8"/>
  <c r="AE58" i="8"/>
  <c r="AD59" i="5" l="1"/>
  <c r="AD36" i="5" s="1"/>
  <c r="AD122" i="5"/>
  <c r="AE59" i="8"/>
  <c r="AE60" i="8" s="1"/>
  <c r="AE64" i="8"/>
  <c r="AE65" i="8" s="1"/>
  <c r="AE66" i="8" s="1"/>
  <c r="AF101" i="8"/>
  <c r="F164" i="5"/>
  <c r="F166" i="5" s="1"/>
  <c r="AD34" i="5" l="1"/>
  <c r="AD35" i="5"/>
  <c r="AF102" i="8"/>
  <c r="AE70" i="8"/>
  <c r="AE71" i="8" s="1"/>
  <c r="AE72" i="8" s="1"/>
  <c r="G164" i="5"/>
  <c r="G166" i="5" s="1"/>
  <c r="AE113" i="5" l="1"/>
  <c r="AD37" i="5"/>
  <c r="AD38" i="5" s="1"/>
  <c r="AD39" i="5" s="1"/>
  <c r="AE114" i="5"/>
  <c r="AE122" i="5" s="1"/>
  <c r="AE48" i="5"/>
  <c r="AF58" i="8"/>
  <c r="AF103" i="8"/>
  <c r="AF64" i="8"/>
  <c r="AF65" i="8" s="1"/>
  <c r="AF66" i="8" s="1"/>
  <c r="AE59" i="5" l="1"/>
  <c r="AE34" i="5" s="1"/>
  <c r="AF59" i="8"/>
  <c r="AF60" i="8" s="1"/>
  <c r="AG101" i="8"/>
  <c r="AF70" i="8"/>
  <c r="AF71" i="8" s="1"/>
  <c r="AF72" i="8" s="1"/>
  <c r="I164" i="5"/>
  <c r="I166" i="5" s="1"/>
  <c r="AF114" i="5" l="1"/>
  <c r="AF113" i="5"/>
  <c r="AF122" i="5" s="1"/>
  <c r="AE35" i="5"/>
  <c r="AE36" i="5"/>
  <c r="AF48" i="5"/>
  <c r="AG102" i="8"/>
  <c r="K164" i="5"/>
  <c r="K166" i="5" s="1"/>
  <c r="J164" i="5"/>
  <c r="J166" i="5" s="1"/>
  <c r="AE37" i="5" l="1"/>
  <c r="AE38" i="5" s="1"/>
  <c r="AE39" i="5" s="1"/>
  <c r="AF59" i="5"/>
  <c r="AF35" i="5" s="1"/>
  <c r="AG58" i="8"/>
  <c r="AG103" i="8"/>
  <c r="L164" i="5"/>
  <c r="L166" i="5" s="1"/>
  <c r="AF36" i="5" l="1"/>
  <c r="AF34" i="5"/>
  <c r="AG59" i="8"/>
  <c r="AG60" i="8" s="1"/>
  <c r="AG64" i="8"/>
  <c r="AG65" i="8" s="1"/>
  <c r="AG66" i="8" s="1"/>
  <c r="AH101" i="8"/>
  <c r="AF37" i="5" l="1"/>
  <c r="AF38" i="5" s="1"/>
  <c r="AF39" i="5" s="1"/>
  <c r="AG70" i="8"/>
  <c r="AG71" i="8" s="1"/>
  <c r="AG72" i="8" s="1"/>
  <c r="AH102" i="8"/>
  <c r="N164" i="5"/>
  <c r="N166" i="5" s="1"/>
  <c r="M164" i="5"/>
  <c r="M166" i="5" s="1"/>
  <c r="AG113" i="5" l="1"/>
  <c r="AG48" i="5"/>
  <c r="AG114" i="5"/>
  <c r="AH58" i="8"/>
  <c r="AH103" i="8"/>
  <c r="O164" i="5"/>
  <c r="O166" i="5" s="1"/>
  <c r="AG59" i="5" l="1"/>
  <c r="AG35" i="5" s="1"/>
  <c r="AG122" i="5"/>
  <c r="AH59" i="8"/>
  <c r="AH60" i="8" s="1"/>
  <c r="AI101" i="8"/>
  <c r="AH64" i="8"/>
  <c r="AH65" i="8" s="1"/>
  <c r="AH66" i="8" s="1"/>
  <c r="P164" i="5"/>
  <c r="P166" i="5" s="1"/>
  <c r="AG36" i="5" l="1"/>
  <c r="AG34" i="5"/>
  <c r="AI102" i="8"/>
  <c r="AH70" i="8"/>
  <c r="AH71" i="8" s="1"/>
  <c r="AH72" i="8" s="1"/>
  <c r="Q164" i="5"/>
  <c r="Q166" i="5" s="1"/>
  <c r="AG37" i="5" l="1"/>
  <c r="AG38" i="5" s="1"/>
  <c r="AG39" i="5" s="1"/>
  <c r="AH113" i="5"/>
  <c r="AH114" i="5"/>
  <c r="AH122" i="5" s="1"/>
  <c r="AH48" i="5"/>
  <c r="AI103" i="8"/>
  <c r="AI64" i="8"/>
  <c r="AI65" i="8" s="1"/>
  <c r="AI66" i="8" s="1"/>
  <c r="AI58" i="8"/>
  <c r="S164" i="5"/>
  <c r="S166" i="5" s="1"/>
  <c r="AH59" i="5" l="1"/>
  <c r="AH34" i="5" s="1"/>
  <c r="AI59" i="8"/>
  <c r="AI60" i="8" s="1"/>
  <c r="AI70" i="8"/>
  <c r="AI71" i="8" s="1"/>
  <c r="AI72" i="8" s="1"/>
  <c r="T164" i="5"/>
  <c r="T166" i="5" s="1"/>
  <c r="AI113" i="5" l="1"/>
  <c r="AH36" i="5"/>
  <c r="AH35" i="5"/>
  <c r="AI114" i="5"/>
  <c r="AI122" i="5" s="1"/>
  <c r="AI48" i="5"/>
  <c r="AH37" i="5" l="1"/>
  <c r="AH38" i="5" s="1"/>
  <c r="AH39" i="5" s="1"/>
  <c r="AI59" i="5"/>
  <c r="AI34" i="5" s="1"/>
  <c r="U164" i="5"/>
  <c r="U166" i="5" s="1"/>
  <c r="AI36" i="5" l="1"/>
  <c r="AI35" i="5"/>
  <c r="AI37" i="5" s="1"/>
  <c r="AI38" i="5" s="1"/>
  <c r="AI39" i="5" s="1"/>
  <c r="V164" i="5"/>
  <c r="V166" i="5" s="1"/>
  <c r="W164" i="5" l="1"/>
  <c r="W166" i="5" s="1"/>
  <c r="X164" i="5"/>
  <c r="X166" i="5" s="1"/>
  <c r="Y164" i="5" l="1"/>
  <c r="Y166" i="5" s="1"/>
  <c r="Z164" i="5"/>
  <c r="Z166" i="5" s="1"/>
  <c r="AA164" i="5" l="1"/>
  <c r="AA166" i="5" s="1"/>
  <c r="AB164" i="5" l="1"/>
  <c r="AB166" i="5" s="1"/>
  <c r="AC164" i="5" l="1"/>
  <c r="AC166" i="5" s="1"/>
  <c r="AD164" i="5" l="1"/>
  <c r="AD166" i="5" s="1"/>
  <c r="AE164" i="5" l="1"/>
  <c r="AE166" i="5" s="1"/>
  <c r="AF164" i="5"/>
  <c r="AF166" i="5" s="1"/>
  <c r="AG164" i="5" l="1"/>
  <c r="AG166" i="5" s="1"/>
  <c r="AH164" i="5" l="1"/>
  <c r="AH166" i="5" s="1"/>
  <c r="AI164" i="5"/>
  <c r="AI166" i="5" s="1"/>
  <c r="R164" i="5"/>
  <c r="R166" i="5" s="1"/>
  <c r="H164" i="5"/>
  <c r="H166" i="5" s="1"/>
  <c r="E164" i="5"/>
  <c r="E166" i="5" s="1"/>
  <c r="D164" i="5"/>
  <c r="D166" i="5" s="1"/>
  <c r="AI255" i="8"/>
  <c r="AH255" i="8"/>
  <c r="AG255" i="8"/>
  <c r="AF255" i="8"/>
  <c r="AE255" i="8"/>
  <c r="AD255" i="8"/>
  <c r="AC255" i="8"/>
  <c r="AB255" i="8"/>
  <c r="AA255" i="8"/>
  <c r="Z255" i="8"/>
  <c r="Y255" i="8"/>
  <c r="X255" i="8"/>
  <c r="W255" i="8"/>
  <c r="V255" i="8"/>
  <c r="U255" i="8"/>
  <c r="T255" i="8"/>
  <c r="S255" i="8"/>
  <c r="R255" i="8"/>
  <c r="Q255" i="8"/>
  <c r="P255" i="8"/>
  <c r="K9" i="7"/>
  <c r="K10" i="7" s="1"/>
  <c r="E9" i="7"/>
  <c r="E10" i="7" s="1"/>
  <c r="H9" i="7"/>
  <c r="H10" i="7" s="1"/>
  <c r="G9" i="7"/>
  <c r="F9" i="7"/>
  <c r="F10" i="7" s="1"/>
  <c r="I9" i="7"/>
  <c r="I10" i="7" s="1"/>
  <c r="J9" i="7"/>
  <c r="P9" i="7"/>
  <c r="P10" i="7" s="1"/>
  <c r="L9" i="7"/>
  <c r="L10" i="7" s="1"/>
  <c r="M9" i="7"/>
  <c r="M10" i="7" s="1"/>
  <c r="N9" i="7"/>
  <c r="N10" i="7" s="1"/>
  <c r="O9" i="7"/>
  <c r="Q9" i="7"/>
  <c r="Q10" i="7" s="1"/>
  <c r="R9" i="7"/>
  <c r="S9" i="7"/>
  <c r="S10" i="7" s="1"/>
  <c r="T9" i="7"/>
  <c r="U9" i="7"/>
  <c r="U10" i="7" s="1"/>
  <c r="V9" i="7"/>
  <c r="V10" i="7" s="1"/>
  <c r="W9" i="7"/>
  <c r="W10" i="7" s="1"/>
  <c r="X9" i="7"/>
  <c r="X10" i="7" s="1"/>
  <c r="Y9" i="7"/>
  <c r="Y10" i="7" s="1"/>
  <c r="Z9" i="7"/>
  <c r="Z10" i="7" s="1"/>
  <c r="AA9" i="7"/>
  <c r="AA10" i="7" s="1"/>
  <c r="AB9" i="7"/>
  <c r="AB10" i="7" s="1"/>
  <c r="AC9" i="7"/>
  <c r="AC10" i="7" s="1"/>
  <c r="AD9" i="7"/>
  <c r="AE9" i="7"/>
  <c r="AE10" i="7" s="1"/>
  <c r="AF9" i="7"/>
  <c r="AF10" i="7" s="1"/>
  <c r="AG9" i="7"/>
  <c r="AG10" i="7" s="1"/>
  <c r="AH9" i="7"/>
  <c r="AI9" i="7"/>
  <c r="AI10" i="7" s="1"/>
  <c r="R10" i="7" l="1"/>
  <c r="AH10" i="7"/>
  <c r="J10" i="7"/>
  <c r="O10" i="7"/>
  <c r="AD10" i="7"/>
  <c r="T10" i="7"/>
  <c r="G10" i="7"/>
  <c r="D12" i="7"/>
  <c r="D13" i="7" s="1"/>
  <c r="X12" i="7" l="1"/>
  <c r="X13" i="7" s="1"/>
  <c r="P12" i="7"/>
  <c r="K12" i="7"/>
  <c r="M12" i="7"/>
  <c r="I12" i="7"/>
  <c r="Q12" i="7"/>
  <c r="Q13" i="7" s="1"/>
  <c r="Q14" i="7" s="1"/>
  <c r="Q20" i="7" s="1"/>
  <c r="Q22" i="7" s="1"/>
  <c r="Q24" i="7" s="1"/>
  <c r="Q27" i="7" s="1"/>
  <c r="S12" i="7"/>
  <c r="U12" i="7"/>
  <c r="V12" i="7"/>
  <c r="V13" i="7" s="1"/>
  <c r="V14" i="7" s="1"/>
  <c r="V15" i="7" s="1"/>
  <c r="Z12" i="7"/>
  <c r="Z13" i="7" s="1"/>
  <c r="AB12" i="7"/>
  <c r="AC12" i="7"/>
  <c r="AE12" i="7"/>
  <c r="AE13" i="7" s="1"/>
  <c r="AF12" i="7"/>
  <c r="AG12" i="7"/>
  <c r="AG13" i="7" s="1"/>
  <c r="AG14" i="7" s="1"/>
  <c r="AD12" i="7"/>
  <c r="AD13" i="7" s="1"/>
  <c r="L12" i="7"/>
  <c r="L13" i="7" s="1"/>
  <c r="L14" i="7" s="1"/>
  <c r="H12" i="7"/>
  <c r="AI12" i="7"/>
  <c r="W12" i="7"/>
  <c r="W13" i="7" s="1"/>
  <c r="T12" i="7"/>
  <c r="T13" i="7" s="1"/>
  <c r="T14" i="7" s="1"/>
  <c r="G12" i="7"/>
  <c r="AH12" i="7"/>
  <c r="R12" i="7"/>
  <c r="R13" i="7" s="1"/>
  <c r="J12" i="7"/>
  <c r="J13" i="7" s="1"/>
  <c r="J14" i="7" s="1"/>
  <c r="O12" i="7"/>
  <c r="F12" i="7"/>
  <c r="Y12" i="7"/>
  <c r="Y13" i="7" s="1"/>
  <c r="N12" i="7"/>
  <c r="N13" i="7" s="1"/>
  <c r="AA12" i="7"/>
  <c r="E12" i="7"/>
  <c r="E13" i="7" s="1"/>
  <c r="Q33" i="7" l="1"/>
  <c r="Q34" i="7" s="1"/>
  <c r="Q110" i="5"/>
  <c r="J15" i="7"/>
  <c r="J20" i="7"/>
  <c r="J22" i="7" s="1"/>
  <c r="J24" i="7" s="1"/>
  <c r="J27" i="7" s="1"/>
  <c r="T15" i="7"/>
  <c r="T20" i="7"/>
  <c r="T22" i="7" s="1"/>
  <c r="T24" i="7" s="1"/>
  <c r="T27" i="7" s="1"/>
  <c r="L15" i="7"/>
  <c r="L20" i="7"/>
  <c r="L22" i="7" s="1"/>
  <c r="L24" i="7" s="1"/>
  <c r="L27" i="7" s="1"/>
  <c r="AG15" i="7"/>
  <c r="AG20" i="7"/>
  <c r="AG22" i="7" s="1"/>
  <c r="AG24" i="7" s="1"/>
  <c r="AG27" i="7" s="1"/>
  <c r="U13" i="7"/>
  <c r="I13" i="7"/>
  <c r="M13" i="7"/>
  <c r="K13" i="7"/>
  <c r="P13" i="7"/>
  <c r="J21" i="7"/>
  <c r="J23" i="7" s="1"/>
  <c r="J25" i="7" s="1"/>
  <c r="J28" i="7" s="1"/>
  <c r="L21" i="7"/>
  <c r="L23" i="7" s="1"/>
  <c r="L25" i="7" s="1"/>
  <c r="L28" i="7" s="1"/>
  <c r="AG21" i="7"/>
  <c r="AG23" i="7" s="1"/>
  <c r="AG25" i="7" s="1"/>
  <c r="AG28" i="7" s="1"/>
  <c r="T21" i="7"/>
  <c r="T23" i="7" s="1"/>
  <c r="T25" i="7" s="1"/>
  <c r="T28" i="7" s="1"/>
  <c r="Q15" i="7"/>
  <c r="E14" i="7"/>
  <c r="AA13" i="7"/>
  <c r="N14" i="7"/>
  <c r="Y14" i="7"/>
  <c r="Y21" i="7" s="1"/>
  <c r="Y23" i="7" s="1"/>
  <c r="Y25" i="7" s="1"/>
  <c r="Y28" i="7" s="1"/>
  <c r="F13" i="7"/>
  <c r="O13" i="7"/>
  <c r="R14" i="7"/>
  <c r="R21" i="7" s="1"/>
  <c r="R23" i="7" s="1"/>
  <c r="R25" i="7" s="1"/>
  <c r="R28" i="7" s="1"/>
  <c r="AH13" i="7"/>
  <c r="G13" i="7"/>
  <c r="W14" i="7"/>
  <c r="AI13" i="7"/>
  <c r="H13" i="7"/>
  <c r="AD14" i="7"/>
  <c r="AF13" i="7"/>
  <c r="AE14" i="7"/>
  <c r="AC13" i="7"/>
  <c r="AB13" i="7"/>
  <c r="Z14" i="7"/>
  <c r="V20" i="7"/>
  <c r="V22" i="7" s="1"/>
  <c r="V24" i="7" s="1"/>
  <c r="V27" i="7" s="1"/>
  <c r="S13" i="7"/>
  <c r="X14" i="7"/>
  <c r="X21" i="7" s="1"/>
  <c r="X23" i="7" s="1"/>
  <c r="X25" i="7" s="1"/>
  <c r="X28" i="7" s="1"/>
  <c r="V21" i="7"/>
  <c r="V23" i="7" s="1"/>
  <c r="V25" i="7" s="1"/>
  <c r="V28" i="7" s="1"/>
  <c r="Q21" i="7"/>
  <c r="Q23" i="7" s="1"/>
  <c r="Q25" i="7" s="1"/>
  <c r="Q28" i="7" s="1"/>
  <c r="X123" i="5" l="1"/>
  <c r="X36" i="7"/>
  <c r="X37" i="7" s="1"/>
  <c r="Q123" i="5"/>
  <c r="Q36" i="7"/>
  <c r="Q37" i="7" s="1"/>
  <c r="Q38" i="7" s="1"/>
  <c r="Q39" i="7" s="1"/>
  <c r="R123" i="5"/>
  <c r="R36" i="7"/>
  <c r="R37" i="7" s="1"/>
  <c r="V36" i="7"/>
  <c r="V37" i="7" s="1"/>
  <c r="V123" i="5"/>
  <c r="S14" i="7"/>
  <c r="S21" i="7" s="1"/>
  <c r="S23" i="7" s="1"/>
  <c r="S25" i="7" s="1"/>
  <c r="S28" i="7" s="1"/>
  <c r="V33" i="7"/>
  <c r="V34" i="7" s="1"/>
  <c r="V110" i="5"/>
  <c r="AB14" i="7"/>
  <c r="AB21" i="7" s="1"/>
  <c r="AB23" i="7" s="1"/>
  <c r="AB25" i="7" s="1"/>
  <c r="AB28" i="7" s="1"/>
  <c r="AF14" i="7"/>
  <c r="AF21" i="7" s="1"/>
  <c r="AF23" i="7" s="1"/>
  <c r="AF25" i="7" s="1"/>
  <c r="AF28" i="7" s="1"/>
  <c r="AD15" i="7"/>
  <c r="AD20" i="7"/>
  <c r="AD22" i="7" s="1"/>
  <c r="AD24" i="7" s="1"/>
  <c r="AD27" i="7" s="1"/>
  <c r="AI14" i="7"/>
  <c r="AI21" i="7" s="1"/>
  <c r="AI23" i="7" s="1"/>
  <c r="AI25" i="7" s="1"/>
  <c r="AI28" i="7" s="1"/>
  <c r="T36" i="7"/>
  <c r="T37" i="7" s="1"/>
  <c r="T123" i="5"/>
  <c r="AH14" i="7"/>
  <c r="AH21" i="7" s="1"/>
  <c r="AH23" i="7" s="1"/>
  <c r="AH25" i="7" s="1"/>
  <c r="AH28" i="7" s="1"/>
  <c r="O14" i="7"/>
  <c r="O21" i="7" s="1"/>
  <c r="O23" i="7" s="1"/>
  <c r="O25" i="7" s="1"/>
  <c r="O28" i="7" s="1"/>
  <c r="Y36" i="7"/>
  <c r="Y37" i="7" s="1"/>
  <c r="Y123" i="5"/>
  <c r="N15" i="7"/>
  <c r="N20" i="7"/>
  <c r="N22" i="7" s="1"/>
  <c r="N24" i="7" s="1"/>
  <c r="N27" i="7" s="1"/>
  <c r="E15" i="7"/>
  <c r="E20" i="7"/>
  <c r="E22" i="7" s="1"/>
  <c r="E24" i="7" s="1"/>
  <c r="E27" i="7" s="1"/>
  <c r="L36" i="7"/>
  <c r="L37" i="7" s="1"/>
  <c r="L123" i="5"/>
  <c r="AG33" i="7"/>
  <c r="AG34" i="7" s="1"/>
  <c r="AG110" i="5"/>
  <c r="L33" i="7"/>
  <c r="L34" i="7" s="1"/>
  <c r="L38" i="7" s="1"/>
  <c r="L39" i="7" s="1"/>
  <c r="L110" i="5"/>
  <c r="T33" i="7"/>
  <c r="T34" i="7" s="1"/>
  <c r="T38" i="7" s="1"/>
  <c r="T39" i="7" s="1"/>
  <c r="T110" i="5"/>
  <c r="J33" i="7"/>
  <c r="J34" i="7" s="1"/>
  <c r="J110" i="5"/>
  <c r="X15" i="7"/>
  <c r="X20" i="7"/>
  <c r="X22" i="7" s="1"/>
  <c r="X24" i="7" s="1"/>
  <c r="X27" i="7" s="1"/>
  <c r="Z15" i="7"/>
  <c r="Z20" i="7"/>
  <c r="Z22" i="7" s="1"/>
  <c r="Z24" i="7" s="1"/>
  <c r="Z27" i="7" s="1"/>
  <c r="AC14" i="7"/>
  <c r="AE15" i="7"/>
  <c r="AE20" i="7"/>
  <c r="AE22" i="7" s="1"/>
  <c r="AE24" i="7" s="1"/>
  <c r="AE27" i="7" s="1"/>
  <c r="H14" i="7"/>
  <c r="W15" i="7"/>
  <c r="W20" i="7"/>
  <c r="W22" i="7" s="1"/>
  <c r="W24" i="7" s="1"/>
  <c r="W27" i="7" s="1"/>
  <c r="G14" i="7"/>
  <c r="R15" i="7"/>
  <c r="R20" i="7"/>
  <c r="R22" i="7" s="1"/>
  <c r="R24" i="7" s="1"/>
  <c r="R27" i="7" s="1"/>
  <c r="F14" i="7"/>
  <c r="Y15" i="7"/>
  <c r="Y20" i="7"/>
  <c r="Y22" i="7" s="1"/>
  <c r="Y24" i="7" s="1"/>
  <c r="Y27" i="7" s="1"/>
  <c r="AA14" i="7"/>
  <c r="AG36" i="7"/>
  <c r="AG37" i="7" s="1"/>
  <c r="AG123" i="5"/>
  <c r="J123" i="5"/>
  <c r="J36" i="7"/>
  <c r="J37" i="7" s="1"/>
  <c r="P14" i="7"/>
  <c r="K14" i="7"/>
  <c r="M14" i="7"/>
  <c r="I14" i="7"/>
  <c r="U14" i="7"/>
  <c r="Z21" i="7"/>
  <c r="Z23" i="7" s="1"/>
  <c r="Z25" i="7" s="1"/>
  <c r="Z28" i="7" s="1"/>
  <c r="AE21" i="7"/>
  <c r="AE23" i="7" s="1"/>
  <c r="AE25" i="7" s="1"/>
  <c r="AE28" i="7" s="1"/>
  <c r="AD21" i="7"/>
  <c r="AD23" i="7" s="1"/>
  <c r="AD25" i="7" s="1"/>
  <c r="AD28" i="7" s="1"/>
  <c r="N21" i="7"/>
  <c r="N23" i="7" s="1"/>
  <c r="N25" i="7" s="1"/>
  <c r="N28" i="7" s="1"/>
  <c r="E21" i="7"/>
  <c r="E23" i="7" s="1"/>
  <c r="E25" i="7" s="1"/>
  <c r="E28" i="7" s="1"/>
  <c r="W21" i="7"/>
  <c r="W23" i="7" s="1"/>
  <c r="W25" i="7" s="1"/>
  <c r="W28" i="7" s="1"/>
  <c r="Q89" i="5"/>
  <c r="Q88" i="5"/>
  <c r="Q87" i="5"/>
  <c r="V38" i="7" l="1"/>
  <c r="V39" i="7" s="1"/>
  <c r="AG38" i="7"/>
  <c r="AG39" i="7" s="1"/>
  <c r="Q152" i="5"/>
  <c r="Q319" i="8"/>
  <c r="W123" i="5"/>
  <c r="W36" i="7"/>
  <c r="W37" i="7" s="1"/>
  <c r="N36" i="7"/>
  <c r="N37" i="7" s="1"/>
  <c r="N123" i="5"/>
  <c r="AE36" i="7"/>
  <c r="AE37" i="7" s="1"/>
  <c r="AE123" i="5"/>
  <c r="U15" i="7"/>
  <c r="U20" i="7"/>
  <c r="U22" i="7" s="1"/>
  <c r="U24" i="7" s="1"/>
  <c r="U27" i="7" s="1"/>
  <c r="I20" i="7"/>
  <c r="I22" i="7" s="1"/>
  <c r="I24" i="7" s="1"/>
  <c r="I27" i="7" s="1"/>
  <c r="I15" i="7"/>
  <c r="M15" i="7"/>
  <c r="M20" i="7"/>
  <c r="M22" i="7" s="1"/>
  <c r="M24" i="7" s="1"/>
  <c r="M27" i="7" s="1"/>
  <c r="K15" i="7"/>
  <c r="K20" i="7"/>
  <c r="K22" i="7" s="1"/>
  <c r="K24" i="7" s="1"/>
  <c r="K27" i="7" s="1"/>
  <c r="P15" i="7"/>
  <c r="P20" i="7"/>
  <c r="P22" i="7" s="1"/>
  <c r="P24" i="7" s="1"/>
  <c r="P27" i="7" s="1"/>
  <c r="AG92" i="5"/>
  <c r="AG93" i="5"/>
  <c r="AG91" i="5"/>
  <c r="AA15" i="7"/>
  <c r="AA20" i="7"/>
  <c r="AA22" i="7" s="1"/>
  <c r="AA24" i="7" s="1"/>
  <c r="AA27" i="7" s="1"/>
  <c r="Y33" i="7"/>
  <c r="Y34" i="7" s="1"/>
  <c r="Y38" i="7" s="1"/>
  <c r="Y39" i="7" s="1"/>
  <c r="Y110" i="5"/>
  <c r="F15" i="7"/>
  <c r="F20" i="7"/>
  <c r="F22" i="7" s="1"/>
  <c r="F24" i="7" s="1"/>
  <c r="F27" i="7" s="1"/>
  <c r="R33" i="7"/>
  <c r="R34" i="7" s="1"/>
  <c r="R38" i="7" s="1"/>
  <c r="R39" i="7" s="1"/>
  <c r="R110" i="5"/>
  <c r="G15" i="7"/>
  <c r="G20" i="7"/>
  <c r="G22" i="7" s="1"/>
  <c r="G24" i="7" s="1"/>
  <c r="G27" i="7" s="1"/>
  <c r="W110" i="5"/>
  <c r="W33" i="7"/>
  <c r="W34" i="7" s="1"/>
  <c r="H15" i="7"/>
  <c r="H20" i="7"/>
  <c r="H22" i="7" s="1"/>
  <c r="H24" i="7" s="1"/>
  <c r="H27" i="7" s="1"/>
  <c r="AE33" i="7"/>
  <c r="AE34" i="7" s="1"/>
  <c r="AE110" i="5"/>
  <c r="AC20" i="7"/>
  <c r="AC22" i="7" s="1"/>
  <c r="AC24" i="7" s="1"/>
  <c r="AC27" i="7" s="1"/>
  <c r="AC15" i="7"/>
  <c r="Z33" i="7"/>
  <c r="Z34" i="7" s="1"/>
  <c r="Z110" i="5"/>
  <c r="X33" i="7"/>
  <c r="X34" i="7" s="1"/>
  <c r="X38" i="7" s="1"/>
  <c r="X39" i="7" s="1"/>
  <c r="X110" i="5"/>
  <c r="J38" i="7"/>
  <c r="J39" i="7" s="1"/>
  <c r="O36" i="7"/>
  <c r="O37" i="7" s="1"/>
  <c r="O123" i="5"/>
  <c r="AH123" i="5"/>
  <c r="AH36" i="7"/>
  <c r="AH37" i="7" s="1"/>
  <c r="AI36" i="7"/>
  <c r="AI37" i="7" s="1"/>
  <c r="AI123" i="5"/>
  <c r="AF123" i="5"/>
  <c r="AF36" i="7"/>
  <c r="AF37" i="7" s="1"/>
  <c r="AB36" i="7"/>
  <c r="AB37" i="7" s="1"/>
  <c r="AB123" i="5"/>
  <c r="S36" i="7"/>
  <c r="S37" i="7" s="1"/>
  <c r="S123" i="5"/>
  <c r="R93" i="5"/>
  <c r="R91" i="5"/>
  <c r="R92" i="5"/>
  <c r="Q93" i="5"/>
  <c r="Q91" i="5"/>
  <c r="Q92" i="5"/>
  <c r="X93" i="5"/>
  <c r="X92" i="5"/>
  <c r="X91" i="5"/>
  <c r="Q90" i="5"/>
  <c r="Q151" i="5"/>
  <c r="Q318" i="8"/>
  <c r="Q153" i="5"/>
  <c r="Q320" i="8"/>
  <c r="E123" i="5"/>
  <c r="E36" i="7"/>
  <c r="E37" i="7" s="1"/>
  <c r="AD36" i="7"/>
  <c r="AD37" i="7" s="1"/>
  <c r="AD123" i="5"/>
  <c r="Z123" i="5"/>
  <c r="Z36" i="7"/>
  <c r="Z37" i="7" s="1"/>
  <c r="U21" i="7"/>
  <c r="U23" i="7" s="1"/>
  <c r="U25" i="7" s="1"/>
  <c r="U28" i="7" s="1"/>
  <c r="I21" i="7"/>
  <c r="I23" i="7" s="1"/>
  <c r="I25" i="7" s="1"/>
  <c r="I28" i="7" s="1"/>
  <c r="M21" i="7"/>
  <c r="M23" i="7" s="1"/>
  <c r="M25" i="7" s="1"/>
  <c r="M28" i="7" s="1"/>
  <c r="K21" i="7"/>
  <c r="K23" i="7" s="1"/>
  <c r="K25" i="7" s="1"/>
  <c r="K28" i="7" s="1"/>
  <c r="P21" i="7"/>
  <c r="P23" i="7" s="1"/>
  <c r="P25" i="7" s="1"/>
  <c r="P28" i="7" s="1"/>
  <c r="J93" i="5"/>
  <c r="J92" i="5"/>
  <c r="J91" i="5"/>
  <c r="AA21" i="7"/>
  <c r="AA23" i="7" s="1"/>
  <c r="AA25" i="7" s="1"/>
  <c r="AA28" i="7" s="1"/>
  <c r="F21" i="7"/>
  <c r="F23" i="7" s="1"/>
  <c r="F25" i="7" s="1"/>
  <c r="F28" i="7" s="1"/>
  <c r="G21" i="7"/>
  <c r="G23" i="7" s="1"/>
  <c r="G25" i="7" s="1"/>
  <c r="G28" i="7" s="1"/>
  <c r="H21" i="7"/>
  <c r="H23" i="7" s="1"/>
  <c r="H25" i="7" s="1"/>
  <c r="H28" i="7" s="1"/>
  <c r="AC21" i="7"/>
  <c r="AC23" i="7" s="1"/>
  <c r="AC25" i="7" s="1"/>
  <c r="AC28" i="7" s="1"/>
  <c r="J88" i="5"/>
  <c r="J89" i="5"/>
  <c r="J87" i="5"/>
  <c r="T89" i="5"/>
  <c r="T88" i="5"/>
  <c r="T87" i="5"/>
  <c r="L88" i="5"/>
  <c r="L89" i="5"/>
  <c r="L87" i="5"/>
  <c r="AG88" i="5"/>
  <c r="AG87" i="5"/>
  <c r="AG89" i="5"/>
  <c r="L92" i="5"/>
  <c r="L93" i="5"/>
  <c r="L91" i="5"/>
  <c r="E33" i="7"/>
  <c r="E34" i="7" s="1"/>
  <c r="E110" i="5"/>
  <c r="N110" i="5"/>
  <c r="N33" i="7"/>
  <c r="N34" i="7" s="1"/>
  <c r="Y93" i="5"/>
  <c r="Y92" i="5"/>
  <c r="Y91" i="5"/>
  <c r="O15" i="7"/>
  <c r="O20" i="7"/>
  <c r="O22" i="7" s="1"/>
  <c r="O24" i="7" s="1"/>
  <c r="O27" i="7" s="1"/>
  <c r="AH15" i="7"/>
  <c r="AH20" i="7"/>
  <c r="AH22" i="7" s="1"/>
  <c r="AH24" i="7" s="1"/>
  <c r="AH27" i="7" s="1"/>
  <c r="T92" i="5"/>
  <c r="T93" i="5"/>
  <c r="T91" i="5"/>
  <c r="AI20" i="7"/>
  <c r="AI22" i="7" s="1"/>
  <c r="AI24" i="7" s="1"/>
  <c r="AI27" i="7" s="1"/>
  <c r="AI15" i="7"/>
  <c r="AD33" i="7"/>
  <c r="AD34" i="7" s="1"/>
  <c r="AD38" i="7" s="1"/>
  <c r="AD39" i="7" s="1"/>
  <c r="AD110" i="5"/>
  <c r="AF15" i="7"/>
  <c r="AF20" i="7"/>
  <c r="AF22" i="7" s="1"/>
  <c r="AF24" i="7" s="1"/>
  <c r="AF27" i="7" s="1"/>
  <c r="AB15" i="7"/>
  <c r="AB20" i="7"/>
  <c r="AB22" i="7" s="1"/>
  <c r="AB24" i="7" s="1"/>
  <c r="AB27" i="7" s="1"/>
  <c r="V89" i="5"/>
  <c r="V87" i="5"/>
  <c r="V88" i="5"/>
  <c r="S15" i="7"/>
  <c r="S20" i="7"/>
  <c r="S22" i="7" s="1"/>
  <c r="S24" i="7" s="1"/>
  <c r="S27" i="7" s="1"/>
  <c r="V93" i="5"/>
  <c r="V92" i="5"/>
  <c r="V91" i="5"/>
  <c r="N38" i="7" l="1"/>
  <c r="N39" i="7" s="1"/>
  <c r="W38" i="7"/>
  <c r="W39" i="7" s="1"/>
  <c r="V323" i="8"/>
  <c r="V155" i="5"/>
  <c r="V94" i="5"/>
  <c r="V325" i="8"/>
  <c r="V157" i="5"/>
  <c r="V318" i="8"/>
  <c r="V90" i="5"/>
  <c r="V151" i="5"/>
  <c r="AB33" i="7"/>
  <c r="AB34" i="7" s="1"/>
  <c r="AB38" i="7" s="1"/>
  <c r="AB39" i="7" s="1"/>
  <c r="AB110" i="5"/>
  <c r="AF33" i="7"/>
  <c r="AF34" i="7" s="1"/>
  <c r="AF38" i="7" s="1"/>
  <c r="AF39" i="7" s="1"/>
  <c r="AF110" i="5"/>
  <c r="AD88" i="5"/>
  <c r="AD89" i="5"/>
  <c r="AD87" i="5"/>
  <c r="T155" i="5"/>
  <c r="T94" i="5"/>
  <c r="T323" i="8"/>
  <c r="T156" i="5"/>
  <c r="T324" i="8"/>
  <c r="Y324" i="8"/>
  <c r="Y156" i="5"/>
  <c r="E89" i="5"/>
  <c r="E88" i="5"/>
  <c r="E87" i="5"/>
  <c r="L155" i="5"/>
  <c r="L94" i="5"/>
  <c r="L323" i="8"/>
  <c r="L156" i="5"/>
  <c r="L324" i="8"/>
  <c r="AG90" i="5"/>
  <c r="AG151" i="5"/>
  <c r="AG318" i="8"/>
  <c r="L90" i="5"/>
  <c r="L151" i="5"/>
  <c r="L318" i="8"/>
  <c r="L152" i="5"/>
  <c r="L319" i="8"/>
  <c r="T152" i="5"/>
  <c r="T319" i="8"/>
  <c r="J90" i="5"/>
  <c r="J151" i="5"/>
  <c r="J318" i="8"/>
  <c r="J319" i="8"/>
  <c r="J152" i="5"/>
  <c r="H36" i="7"/>
  <c r="H37" i="7" s="1"/>
  <c r="H123" i="5"/>
  <c r="F36" i="7"/>
  <c r="F37" i="7" s="1"/>
  <c r="F123" i="5"/>
  <c r="J323" i="8"/>
  <c r="J155" i="5"/>
  <c r="J94" i="5"/>
  <c r="J325" i="8"/>
  <c r="J157" i="5"/>
  <c r="K36" i="7"/>
  <c r="K37" i="7" s="1"/>
  <c r="K123" i="5"/>
  <c r="I36" i="7"/>
  <c r="I37" i="7" s="1"/>
  <c r="I123" i="5"/>
  <c r="AD92" i="5"/>
  <c r="AD93" i="5"/>
  <c r="AD91" i="5"/>
  <c r="X156" i="5"/>
  <c r="X324" i="8"/>
  <c r="Q324" i="8"/>
  <c r="Q156" i="5"/>
  <c r="Q157" i="5"/>
  <c r="Q325" i="8"/>
  <c r="R155" i="5"/>
  <c r="R323" i="8"/>
  <c r="R94" i="5"/>
  <c r="S92" i="5"/>
  <c r="S93" i="5"/>
  <c r="S91" i="5"/>
  <c r="AB93" i="5"/>
  <c r="AB91" i="5"/>
  <c r="AB92" i="5"/>
  <c r="AI93" i="5"/>
  <c r="AI92" i="5"/>
  <c r="AI91" i="5"/>
  <c r="O92" i="5"/>
  <c r="O93" i="5"/>
  <c r="O91" i="5"/>
  <c r="X88" i="5"/>
  <c r="X89" i="5"/>
  <c r="X87" i="5"/>
  <c r="Z88" i="5"/>
  <c r="Z89" i="5"/>
  <c r="Z87" i="5"/>
  <c r="AE89" i="5"/>
  <c r="AE88" i="5"/>
  <c r="AE87" i="5"/>
  <c r="H110" i="5"/>
  <c r="H33" i="7"/>
  <c r="H34" i="7" s="1"/>
  <c r="G110" i="5"/>
  <c r="G33" i="7"/>
  <c r="G34" i="7" s="1"/>
  <c r="R88" i="5"/>
  <c r="R87" i="5"/>
  <c r="R89" i="5"/>
  <c r="F33" i="7"/>
  <c r="F34" i="7" s="1"/>
  <c r="F110" i="5"/>
  <c r="Y89" i="5"/>
  <c r="Y88" i="5"/>
  <c r="Y87" i="5"/>
  <c r="AA33" i="7"/>
  <c r="AA34" i="7" s="1"/>
  <c r="AA110" i="5"/>
  <c r="AG94" i="5"/>
  <c r="AG323" i="8"/>
  <c r="AG155" i="5"/>
  <c r="AG324" i="8"/>
  <c r="AG156" i="5"/>
  <c r="I110" i="5"/>
  <c r="I33" i="7"/>
  <c r="I34" i="7" s="1"/>
  <c r="W93" i="5"/>
  <c r="W92" i="5"/>
  <c r="W91" i="5"/>
  <c r="V156" i="5"/>
  <c r="V324" i="8"/>
  <c r="S33" i="7"/>
  <c r="S34" i="7" s="1"/>
  <c r="S38" i="7" s="1"/>
  <c r="S39" i="7" s="1"/>
  <c r="S110" i="5"/>
  <c r="V152" i="5"/>
  <c r="V319" i="8"/>
  <c r="V320" i="8"/>
  <c r="V153" i="5"/>
  <c r="AI33" i="7"/>
  <c r="AI34" i="7" s="1"/>
  <c r="AI38" i="7" s="1"/>
  <c r="AI39" i="7" s="1"/>
  <c r="AI110" i="5"/>
  <c r="T325" i="8"/>
  <c r="T157" i="5"/>
  <c r="AH110" i="5"/>
  <c r="AH33" i="7"/>
  <c r="AH34" i="7" s="1"/>
  <c r="AH38" i="7" s="1"/>
  <c r="AH39" i="7" s="1"/>
  <c r="O33" i="7"/>
  <c r="O34" i="7" s="1"/>
  <c r="O38" i="7" s="1"/>
  <c r="O39" i="7" s="1"/>
  <c r="O110" i="5"/>
  <c r="Y94" i="5"/>
  <c r="Y323" i="8"/>
  <c r="Y155" i="5"/>
  <c r="Y157" i="5"/>
  <c r="Y325" i="8"/>
  <c r="N89" i="5"/>
  <c r="N88" i="5"/>
  <c r="N87" i="5"/>
  <c r="E38" i="7"/>
  <c r="E39" i="7" s="1"/>
  <c r="L157" i="5"/>
  <c r="L325" i="8"/>
  <c r="AG153" i="5"/>
  <c r="AG320" i="8"/>
  <c r="AG152" i="5"/>
  <c r="AG319" i="8"/>
  <c r="L153" i="5"/>
  <c r="L320" i="8"/>
  <c r="T90" i="5"/>
  <c r="T151" i="5"/>
  <c r="T318" i="8"/>
  <c r="T320" i="8"/>
  <c r="T153" i="5"/>
  <c r="J320" i="8"/>
  <c r="J153" i="5"/>
  <c r="AC123" i="5"/>
  <c r="AC36" i="7"/>
  <c r="AC37" i="7" s="1"/>
  <c r="G36" i="7"/>
  <c r="G37" i="7" s="1"/>
  <c r="G123" i="5"/>
  <c r="AA123" i="5"/>
  <c r="AA36" i="7"/>
  <c r="AA37" i="7" s="1"/>
  <c r="J156" i="5"/>
  <c r="J324" i="8"/>
  <c r="P123" i="5"/>
  <c r="P36" i="7"/>
  <c r="P37" i="7" s="1"/>
  <c r="M36" i="7"/>
  <c r="M37" i="7" s="1"/>
  <c r="M123" i="5"/>
  <c r="U36" i="7"/>
  <c r="U37" i="7" s="1"/>
  <c r="U123" i="5"/>
  <c r="Z92" i="5"/>
  <c r="Z93" i="5"/>
  <c r="Z91" i="5"/>
  <c r="E93" i="5"/>
  <c r="E92" i="5"/>
  <c r="E91" i="5"/>
  <c r="Q154" i="5"/>
  <c r="X94" i="5"/>
  <c r="X155" i="5"/>
  <c r="X323" i="8"/>
  <c r="X157" i="5"/>
  <c r="X325" i="8"/>
  <c r="Q155" i="5"/>
  <c r="Q94" i="5"/>
  <c r="Q95" i="5" s="1"/>
  <c r="Q323" i="8"/>
  <c r="R324" i="8"/>
  <c r="R156" i="5"/>
  <c r="R325" i="8"/>
  <c r="R157" i="5"/>
  <c r="AF93" i="5"/>
  <c r="AF92" i="5"/>
  <c r="AF91" i="5"/>
  <c r="AH93" i="5"/>
  <c r="AH91" i="5"/>
  <c r="AH92" i="5"/>
  <c r="Z38" i="7"/>
  <c r="Z39" i="7" s="1"/>
  <c r="AC33" i="7"/>
  <c r="AC34" i="7" s="1"/>
  <c r="AC110" i="5"/>
  <c r="AE38" i="7"/>
  <c r="AE39" i="7" s="1"/>
  <c r="W88" i="5"/>
  <c r="W89" i="5"/>
  <c r="W87" i="5"/>
  <c r="AG325" i="8"/>
  <c r="AG157" i="5"/>
  <c r="P110" i="5"/>
  <c r="P33" i="7"/>
  <c r="P34" i="7" s="1"/>
  <c r="P38" i="7" s="1"/>
  <c r="P39" i="7" s="1"/>
  <c r="K33" i="7"/>
  <c r="K34" i="7" s="1"/>
  <c r="K110" i="5"/>
  <c r="M110" i="5"/>
  <c r="M33" i="7"/>
  <c r="M34" i="7" s="1"/>
  <c r="U110" i="5"/>
  <c r="U33" i="7"/>
  <c r="U34" i="7" s="1"/>
  <c r="AE92" i="5"/>
  <c r="AE93" i="5"/>
  <c r="AE91" i="5"/>
  <c r="N93" i="5"/>
  <c r="N92" i="5"/>
  <c r="N91" i="5"/>
  <c r="F38" i="7" l="1"/>
  <c r="F39" i="7" s="1"/>
  <c r="H38" i="7"/>
  <c r="H39" i="7" s="1"/>
  <c r="U38" i="7"/>
  <c r="U39" i="7" s="1"/>
  <c r="M38" i="7"/>
  <c r="M39" i="7" s="1"/>
  <c r="G38" i="7"/>
  <c r="G39" i="7" s="1"/>
  <c r="R158" i="5"/>
  <c r="V8" i="23" s="1"/>
  <c r="J158" i="5"/>
  <c r="I54" i="2" s="1"/>
  <c r="L95" i="5"/>
  <c r="L221" i="8" s="1"/>
  <c r="N323" i="8"/>
  <c r="N94" i="5"/>
  <c r="N155" i="5"/>
  <c r="N157" i="5"/>
  <c r="N325" i="8"/>
  <c r="AE157" i="5"/>
  <c r="AE325" i="8"/>
  <c r="K89" i="5"/>
  <c r="K88" i="5"/>
  <c r="K87" i="5"/>
  <c r="W90" i="5"/>
  <c r="W151" i="5"/>
  <c r="W318" i="8"/>
  <c r="W319" i="8"/>
  <c r="W152" i="5"/>
  <c r="AC88" i="5"/>
  <c r="AC89" i="5"/>
  <c r="AC87" i="5"/>
  <c r="AH323" i="8"/>
  <c r="AH94" i="5"/>
  <c r="AH155" i="5"/>
  <c r="AF155" i="5"/>
  <c r="AF94" i="5"/>
  <c r="AF323" i="8"/>
  <c r="AF157" i="5"/>
  <c r="AF325" i="8"/>
  <c r="Q221" i="8"/>
  <c r="Q96" i="5"/>
  <c r="Q9" i="2"/>
  <c r="Q354" i="8"/>
  <c r="Q259" i="8" s="1"/>
  <c r="E323" i="8"/>
  <c r="E94" i="5"/>
  <c r="E155" i="5"/>
  <c r="E325" i="8"/>
  <c r="E157" i="5"/>
  <c r="Z325" i="8"/>
  <c r="Z157" i="5"/>
  <c r="U92" i="5"/>
  <c r="U93" i="5"/>
  <c r="U91" i="5"/>
  <c r="M93" i="5"/>
  <c r="M91" i="5"/>
  <c r="M92" i="5"/>
  <c r="G93" i="5"/>
  <c r="G92" i="5"/>
  <c r="G91" i="5"/>
  <c r="N90" i="5"/>
  <c r="N318" i="8"/>
  <c r="N151" i="5"/>
  <c r="N153" i="5"/>
  <c r="N320" i="8"/>
  <c r="O88" i="5"/>
  <c r="O89" i="5"/>
  <c r="O87" i="5"/>
  <c r="AI89" i="5"/>
  <c r="AI88" i="5"/>
  <c r="AI87" i="5"/>
  <c r="S88" i="5"/>
  <c r="S89" i="5"/>
  <c r="S87" i="5"/>
  <c r="W323" i="8"/>
  <c r="W94" i="5"/>
  <c r="W155" i="5"/>
  <c r="W325" i="8"/>
  <c r="W157" i="5"/>
  <c r="I89" i="5"/>
  <c r="I88" i="5"/>
  <c r="I87" i="5"/>
  <c r="AA89" i="5"/>
  <c r="AA88" i="5"/>
  <c r="AA87" i="5"/>
  <c r="Y90" i="5"/>
  <c r="Y95" i="5" s="1"/>
  <c r="Y151" i="5"/>
  <c r="Y318" i="8"/>
  <c r="Y320" i="8"/>
  <c r="Y153" i="5"/>
  <c r="R90" i="5"/>
  <c r="R318" i="8"/>
  <c r="R151" i="5"/>
  <c r="AE90" i="5"/>
  <c r="AE151" i="5"/>
  <c r="AE318" i="8"/>
  <c r="AE320" i="8"/>
  <c r="AE153" i="5"/>
  <c r="Z153" i="5"/>
  <c r="Z320" i="8"/>
  <c r="X90" i="5"/>
  <c r="X95" i="5" s="1"/>
  <c r="X318" i="8"/>
  <c r="X151" i="5"/>
  <c r="X152" i="5"/>
  <c r="X319" i="8"/>
  <c r="O323" i="8"/>
  <c r="O94" i="5"/>
  <c r="O155" i="5"/>
  <c r="O324" i="8"/>
  <c r="O156" i="5"/>
  <c r="AI156" i="5"/>
  <c r="AI324" i="8"/>
  <c r="AB324" i="8"/>
  <c r="AB156" i="5"/>
  <c r="AB157" i="5"/>
  <c r="AB325" i="8"/>
  <c r="S325" i="8"/>
  <c r="S157" i="5"/>
  <c r="R95" i="5"/>
  <c r="Q54" i="2"/>
  <c r="AD155" i="5"/>
  <c r="AD94" i="5"/>
  <c r="AD323" i="8"/>
  <c r="AD324" i="8"/>
  <c r="AD156" i="5"/>
  <c r="F93" i="5"/>
  <c r="F92" i="5"/>
  <c r="F91" i="5"/>
  <c r="H92" i="5"/>
  <c r="H91" i="5"/>
  <c r="H93" i="5"/>
  <c r="L154" i="5"/>
  <c r="E90" i="5"/>
  <c r="E318" i="8"/>
  <c r="E151" i="5"/>
  <c r="E153" i="5"/>
  <c r="E320" i="8"/>
  <c r="T95" i="5"/>
  <c r="AD90" i="5"/>
  <c r="AD151" i="5"/>
  <c r="AD318" i="8"/>
  <c r="AD152" i="5"/>
  <c r="AD319" i="8"/>
  <c r="V95" i="5"/>
  <c r="N156" i="5"/>
  <c r="N324" i="8"/>
  <c r="AE155" i="5"/>
  <c r="AE323" i="8"/>
  <c r="AE94" i="5"/>
  <c r="AE156" i="5"/>
  <c r="AE324" i="8"/>
  <c r="U88" i="5"/>
  <c r="U89" i="5"/>
  <c r="U87" i="5"/>
  <c r="M89" i="5"/>
  <c r="M88" i="5"/>
  <c r="M87" i="5"/>
  <c r="K38" i="7"/>
  <c r="K39" i="7" s="1"/>
  <c r="P89" i="5"/>
  <c r="P88" i="5"/>
  <c r="P87" i="5"/>
  <c r="W320" i="8"/>
  <c r="W153" i="5"/>
  <c r="AC38" i="7"/>
  <c r="AC39" i="7" s="1"/>
  <c r="AH156" i="5"/>
  <c r="AH324" i="8"/>
  <c r="AH325" i="8"/>
  <c r="AH157" i="5"/>
  <c r="AF156" i="5"/>
  <c r="AF324" i="8"/>
  <c r="Q158" i="5"/>
  <c r="X158" i="5"/>
  <c r="U7" i="23"/>
  <c r="P53" i="2"/>
  <c r="E156" i="5"/>
  <c r="E324" i="8"/>
  <c r="Z323" i="8"/>
  <c r="Z155" i="5"/>
  <c r="Z94" i="5"/>
  <c r="Z324" i="8"/>
  <c r="Z156" i="5"/>
  <c r="P92" i="5"/>
  <c r="P93" i="5"/>
  <c r="P91" i="5"/>
  <c r="AA92" i="5"/>
  <c r="AA93" i="5"/>
  <c r="AA91" i="5"/>
  <c r="AC92" i="5"/>
  <c r="AC93" i="5"/>
  <c r="AC91" i="5"/>
  <c r="T154" i="5"/>
  <c r="N319" i="8"/>
  <c r="N152" i="5"/>
  <c r="Y158" i="5"/>
  <c r="AH89" i="5"/>
  <c r="AH88" i="5"/>
  <c r="AH87" i="5"/>
  <c r="W156" i="5"/>
  <c r="W324" i="8"/>
  <c r="I38" i="7"/>
  <c r="I39" i="7" s="1"/>
  <c r="AG158" i="5"/>
  <c r="AF54" i="2" s="1"/>
  <c r="AG95" i="5"/>
  <c r="AA38" i="7"/>
  <c r="AA39" i="7" s="1"/>
  <c r="Y152" i="5"/>
  <c r="Y319" i="8"/>
  <c r="F89" i="5"/>
  <c r="F88" i="5"/>
  <c r="F87" i="5"/>
  <c r="R153" i="5"/>
  <c r="R320" i="8"/>
  <c r="R152" i="5"/>
  <c r="R319" i="8"/>
  <c r="G89" i="5"/>
  <c r="G88" i="5"/>
  <c r="G87" i="5"/>
  <c r="H89" i="5"/>
  <c r="H88" i="5"/>
  <c r="H87" i="5"/>
  <c r="AE152" i="5"/>
  <c r="AE319" i="8"/>
  <c r="Z151" i="5"/>
  <c r="Z90" i="5"/>
  <c r="Z318" i="8"/>
  <c r="Z152" i="5"/>
  <c r="Z319" i="8"/>
  <c r="X153" i="5"/>
  <c r="X320" i="8"/>
  <c r="O157" i="5"/>
  <c r="O325" i="8"/>
  <c r="AI323" i="8"/>
  <c r="AI155" i="5"/>
  <c r="AI94" i="5"/>
  <c r="AI325" i="8"/>
  <c r="AI157" i="5"/>
  <c r="AB323" i="8"/>
  <c r="AB94" i="5"/>
  <c r="AB155" i="5"/>
  <c r="S94" i="5"/>
  <c r="S155" i="5"/>
  <c r="S323" i="8"/>
  <c r="S324" i="8"/>
  <c r="S156" i="5"/>
  <c r="AD157" i="5"/>
  <c r="AD325" i="8"/>
  <c r="I93" i="5"/>
  <c r="I92" i="5"/>
  <c r="I91" i="5"/>
  <c r="K92" i="5"/>
  <c r="K93" i="5"/>
  <c r="K91" i="5"/>
  <c r="J95" i="5"/>
  <c r="J154" i="5"/>
  <c r="AG154" i="5"/>
  <c r="L158" i="5"/>
  <c r="E152" i="5"/>
  <c r="E319" i="8"/>
  <c r="T158" i="5"/>
  <c r="AD153" i="5"/>
  <c r="AD320" i="8"/>
  <c r="AF89" i="5"/>
  <c r="AF88" i="5"/>
  <c r="AF87" i="5"/>
  <c r="AB88" i="5"/>
  <c r="AB89" i="5"/>
  <c r="AB87" i="5"/>
  <c r="V154" i="5"/>
  <c r="V158" i="5"/>
  <c r="L96" i="5" l="1"/>
  <c r="L255" i="8" s="1"/>
  <c r="L9" i="2"/>
  <c r="N8" i="23"/>
  <c r="L354" i="8"/>
  <c r="L259" i="8" s="1"/>
  <c r="N158" i="5"/>
  <c r="R8" i="23" s="1"/>
  <c r="Z158" i="5"/>
  <c r="AD8" i="23" s="1"/>
  <c r="E154" i="5"/>
  <c r="D53" i="2" s="1"/>
  <c r="X221" i="8"/>
  <c r="X96" i="5"/>
  <c r="X9" i="2"/>
  <c r="X354" i="8"/>
  <c r="X259" i="8" s="1"/>
  <c r="AB90" i="5"/>
  <c r="AB95" i="5" s="1"/>
  <c r="AB151" i="5"/>
  <c r="AB318" i="8"/>
  <c r="AB319" i="8"/>
  <c r="AB152" i="5"/>
  <c r="AF319" i="8"/>
  <c r="AF152" i="5"/>
  <c r="X8" i="23"/>
  <c r="S54" i="2"/>
  <c r="K54" i="2"/>
  <c r="P8" i="23"/>
  <c r="AF53" i="2"/>
  <c r="AF52" i="2" s="1"/>
  <c r="AF64" i="2" s="1"/>
  <c r="AG159" i="5"/>
  <c r="N7" i="23"/>
  <c r="J159" i="5"/>
  <c r="I53" i="2"/>
  <c r="I52" i="2" s="1"/>
  <c r="I64" i="2" s="1"/>
  <c r="J221" i="8"/>
  <c r="J9" i="2"/>
  <c r="J354" i="8"/>
  <c r="J259" i="8" s="1"/>
  <c r="J96" i="5"/>
  <c r="J255" i="8" s="1"/>
  <c r="K157" i="5"/>
  <c r="K325" i="8"/>
  <c r="I155" i="5"/>
  <c r="I94" i="5"/>
  <c r="I323" i="8"/>
  <c r="I157" i="5"/>
  <c r="I325" i="8"/>
  <c r="H90" i="5"/>
  <c r="H318" i="8"/>
  <c r="H151" i="5"/>
  <c r="H153" i="5"/>
  <c r="H320" i="8"/>
  <c r="G319" i="8"/>
  <c r="G152" i="5"/>
  <c r="F90" i="5"/>
  <c r="F151" i="5"/>
  <c r="F318" i="8"/>
  <c r="F153" i="5"/>
  <c r="F320" i="8"/>
  <c r="AG221" i="8"/>
  <c r="AG96" i="5"/>
  <c r="AG9" i="2"/>
  <c r="AG354" i="8"/>
  <c r="AG259" i="8" s="1"/>
  <c r="AH152" i="5"/>
  <c r="AH319" i="8"/>
  <c r="Y9" i="2"/>
  <c r="Y221" i="8"/>
  <c r="Y96" i="5"/>
  <c r="Y354" i="8"/>
  <c r="Y259" i="8" s="1"/>
  <c r="AC155" i="5"/>
  <c r="AC323" i="8"/>
  <c r="AC94" i="5"/>
  <c r="AC156" i="5"/>
  <c r="AC324" i="8"/>
  <c r="AA325" i="8"/>
  <c r="AA157" i="5"/>
  <c r="P155" i="5"/>
  <c r="P323" i="8"/>
  <c r="P94" i="5"/>
  <c r="P156" i="5"/>
  <c r="P324" i="8"/>
  <c r="P54" i="2"/>
  <c r="P52" i="2" s="1"/>
  <c r="P64" i="2" s="1"/>
  <c r="U8" i="23"/>
  <c r="U6" i="23" s="1"/>
  <c r="U18" i="23" s="1"/>
  <c r="P319" i="8"/>
  <c r="P152" i="5"/>
  <c r="M319" i="8"/>
  <c r="M152" i="5"/>
  <c r="U90" i="5"/>
  <c r="U318" i="8"/>
  <c r="U151" i="5"/>
  <c r="U319" i="8"/>
  <c r="U152" i="5"/>
  <c r="I7" i="23"/>
  <c r="L159" i="5"/>
  <c r="K53" i="2"/>
  <c r="P7" i="23"/>
  <c r="H157" i="5"/>
  <c r="H325" i="8"/>
  <c r="H324" i="8"/>
  <c r="H156" i="5"/>
  <c r="F324" i="8"/>
  <c r="F156" i="5"/>
  <c r="AD158" i="5"/>
  <c r="O158" i="5"/>
  <c r="AA319" i="8"/>
  <c r="AA152" i="5"/>
  <c r="I152" i="5"/>
  <c r="I319" i="8"/>
  <c r="W158" i="5"/>
  <c r="S320" i="8"/>
  <c r="S153" i="5"/>
  <c r="AI151" i="5"/>
  <c r="AI90" i="5"/>
  <c r="AI95" i="5" s="1"/>
  <c r="AI318" i="8"/>
  <c r="AI153" i="5"/>
  <c r="AI320" i="8"/>
  <c r="O320" i="8"/>
  <c r="O153" i="5"/>
  <c r="G156" i="5"/>
  <c r="G324" i="8"/>
  <c r="M324" i="8"/>
  <c r="M156" i="5"/>
  <c r="M157" i="5"/>
  <c r="M325" i="8"/>
  <c r="U325" i="8"/>
  <c r="U157" i="5"/>
  <c r="E158" i="5"/>
  <c r="AH158" i="5"/>
  <c r="AG54" i="2" s="1"/>
  <c r="AC320" i="8"/>
  <c r="AC153" i="5"/>
  <c r="K319" i="8"/>
  <c r="K152" i="5"/>
  <c r="Z8" i="23"/>
  <c r="U54" i="2"/>
  <c r="Z7" i="23"/>
  <c r="U53" i="2"/>
  <c r="V159" i="5"/>
  <c r="AB153" i="5"/>
  <c r="AB320" i="8"/>
  <c r="AF90" i="5"/>
  <c r="AF95" i="5" s="1"/>
  <c r="AF151" i="5"/>
  <c r="AF318" i="8"/>
  <c r="AF153" i="5"/>
  <c r="AF320" i="8"/>
  <c r="K155" i="5"/>
  <c r="K94" i="5"/>
  <c r="K323" i="8"/>
  <c r="K156" i="5"/>
  <c r="K324" i="8"/>
  <c r="I156" i="5"/>
  <c r="I324" i="8"/>
  <c r="S158" i="5"/>
  <c r="AB158" i="5"/>
  <c r="AI158" i="5"/>
  <c r="AH54" i="2" s="1"/>
  <c r="Z154" i="5"/>
  <c r="H152" i="5"/>
  <c r="H319" i="8"/>
  <c r="G90" i="5"/>
  <c r="G318" i="8"/>
  <c r="G151" i="5"/>
  <c r="G320" i="8"/>
  <c r="G153" i="5"/>
  <c r="F319" i="8"/>
  <c r="F152" i="5"/>
  <c r="AH90" i="5"/>
  <c r="AH95" i="5" s="1"/>
  <c r="AH151" i="5"/>
  <c r="AH318" i="8"/>
  <c r="AH320" i="8"/>
  <c r="AH153" i="5"/>
  <c r="AC8" i="23"/>
  <c r="X54" i="2"/>
  <c r="X7" i="23"/>
  <c r="S53" i="2"/>
  <c r="T159" i="5"/>
  <c r="AC325" i="8"/>
  <c r="AC157" i="5"/>
  <c r="AA94" i="5"/>
  <c r="AA323" i="8"/>
  <c r="AA155" i="5"/>
  <c r="AA324" i="8"/>
  <c r="AA156" i="5"/>
  <c r="P325" i="8"/>
  <c r="P157" i="5"/>
  <c r="Z95" i="5"/>
  <c r="Q159" i="5"/>
  <c r="AB8" i="23"/>
  <c r="W54" i="2"/>
  <c r="P90" i="5"/>
  <c r="P151" i="5"/>
  <c r="P318" i="8"/>
  <c r="P320" i="8"/>
  <c r="P153" i="5"/>
  <c r="M90" i="5"/>
  <c r="M318" i="8"/>
  <c r="M151" i="5"/>
  <c r="M320" i="8"/>
  <c r="M153" i="5"/>
  <c r="U320" i="8"/>
  <c r="U153" i="5"/>
  <c r="AE95" i="5"/>
  <c r="AE158" i="5"/>
  <c r="V221" i="8"/>
  <c r="V96" i="5"/>
  <c r="V9" i="2"/>
  <c r="V354" i="8"/>
  <c r="V259" i="8" s="1"/>
  <c r="AD154" i="5"/>
  <c r="T9" i="2"/>
  <c r="T221" i="8"/>
  <c r="T96" i="5"/>
  <c r="T354" i="8"/>
  <c r="T259" i="8" s="1"/>
  <c r="H323" i="8"/>
  <c r="H155" i="5"/>
  <c r="H94" i="5"/>
  <c r="H95" i="5" s="1"/>
  <c r="F323" i="8"/>
  <c r="F94" i="5"/>
  <c r="F155" i="5"/>
  <c r="F325" i="8"/>
  <c r="F157" i="5"/>
  <c r="AD95" i="5"/>
  <c r="R221" i="8"/>
  <c r="R96" i="5"/>
  <c r="R9" i="2"/>
  <c r="R354" i="8"/>
  <c r="R259" i="8" s="1"/>
  <c r="X154" i="5"/>
  <c r="AE154" i="5"/>
  <c r="R154" i="5"/>
  <c r="Y154" i="5"/>
  <c r="AA90" i="5"/>
  <c r="AA318" i="8"/>
  <c r="AA151" i="5"/>
  <c r="AA153" i="5"/>
  <c r="AA320" i="8"/>
  <c r="I318" i="8"/>
  <c r="I90" i="5"/>
  <c r="I151" i="5"/>
  <c r="I153" i="5"/>
  <c r="I320" i="8"/>
  <c r="W95" i="5"/>
  <c r="S90" i="5"/>
  <c r="S95" i="5" s="1"/>
  <c r="S318" i="8"/>
  <c r="S151" i="5"/>
  <c r="S319" i="8"/>
  <c r="S152" i="5"/>
  <c r="AI319" i="8"/>
  <c r="AI152" i="5"/>
  <c r="O90" i="5"/>
  <c r="O95" i="5" s="1"/>
  <c r="O151" i="5"/>
  <c r="O318" i="8"/>
  <c r="O319" i="8"/>
  <c r="O152" i="5"/>
  <c r="N154" i="5"/>
  <c r="G94" i="5"/>
  <c r="G95" i="5" s="1"/>
  <c r="G323" i="8"/>
  <c r="G155" i="5"/>
  <c r="G325" i="8"/>
  <c r="G157" i="5"/>
  <c r="M323" i="8"/>
  <c r="M155" i="5"/>
  <c r="M94" i="5"/>
  <c r="U94" i="5"/>
  <c r="U155" i="5"/>
  <c r="U323" i="8"/>
  <c r="U324" i="8"/>
  <c r="U156" i="5"/>
  <c r="E95" i="5"/>
  <c r="AF158" i="5"/>
  <c r="AC90" i="5"/>
  <c r="AC318" i="8"/>
  <c r="AC151" i="5"/>
  <c r="AC319" i="8"/>
  <c r="AC152" i="5"/>
  <c r="W154" i="5"/>
  <c r="K90" i="5"/>
  <c r="K151" i="5"/>
  <c r="K318" i="8"/>
  <c r="K153" i="5"/>
  <c r="K320" i="8"/>
  <c r="N95" i="5"/>
  <c r="K52" i="2" l="1"/>
  <c r="K64" i="2" s="1"/>
  <c r="M95" i="5"/>
  <c r="Y54" i="2"/>
  <c r="U52" i="2"/>
  <c r="U64" i="2" s="1"/>
  <c r="Z6" i="23"/>
  <c r="Z18" i="23" s="1"/>
  <c r="X6" i="23"/>
  <c r="X18" i="23" s="1"/>
  <c r="N6" i="23"/>
  <c r="N18" i="23" s="1"/>
  <c r="M54" i="2"/>
  <c r="I158" i="5"/>
  <c r="H54" i="2" s="1"/>
  <c r="F95" i="5"/>
  <c r="F221" i="8" s="1"/>
  <c r="S52" i="2"/>
  <c r="S64" i="2" s="1"/>
  <c r="K158" i="5"/>
  <c r="J54" i="2" s="1"/>
  <c r="AC95" i="5"/>
  <c r="AC96" i="5" s="1"/>
  <c r="AC158" i="5"/>
  <c r="AB54" i="2" s="1"/>
  <c r="H154" i="5"/>
  <c r="L7" i="23" s="1"/>
  <c r="U95" i="5"/>
  <c r="U221" i="8" s="1"/>
  <c r="M158" i="5"/>
  <c r="Q8" i="23" s="1"/>
  <c r="AA154" i="5"/>
  <c r="AE7" i="23" s="1"/>
  <c r="P6" i="23"/>
  <c r="P18" i="23" s="1"/>
  <c r="AI96" i="5"/>
  <c r="AI9" i="2"/>
  <c r="AI221" i="8"/>
  <c r="AI354" i="8"/>
  <c r="AI259" i="8" s="1"/>
  <c r="AB96" i="5"/>
  <c r="AB221" i="8"/>
  <c r="AB354" i="8"/>
  <c r="AB259" i="8" s="1"/>
  <c r="AB9" i="2"/>
  <c r="O221" i="8"/>
  <c r="O96" i="5"/>
  <c r="O255" i="8" s="1"/>
  <c r="O9" i="2"/>
  <c r="O354" i="8"/>
  <c r="O259" i="8" s="1"/>
  <c r="AF96" i="5"/>
  <c r="AF9" i="2"/>
  <c r="AF221" i="8"/>
  <c r="AF354" i="8"/>
  <c r="AF259" i="8" s="1"/>
  <c r="N221" i="8"/>
  <c r="N9" i="2"/>
  <c r="N96" i="5"/>
  <c r="N255" i="8" s="1"/>
  <c r="N354" i="8"/>
  <c r="N259" i="8" s="1"/>
  <c r="K154" i="5"/>
  <c r="W159" i="5"/>
  <c r="AA7" i="23"/>
  <c r="V53" i="2"/>
  <c r="AH9" i="2"/>
  <c r="AH96" i="5"/>
  <c r="AH354" i="8"/>
  <c r="AH259" i="8" s="1"/>
  <c r="AH221" i="8"/>
  <c r="U9" i="2"/>
  <c r="L54" i="2"/>
  <c r="G158" i="5"/>
  <c r="G9" i="2"/>
  <c r="G221" i="8"/>
  <c r="G354" i="8"/>
  <c r="G259" i="8" s="1"/>
  <c r="G96" i="5"/>
  <c r="G255" i="8" s="1"/>
  <c r="W221" i="8"/>
  <c r="W9" i="2"/>
  <c r="W354" i="8"/>
  <c r="W259" i="8" s="1"/>
  <c r="W96" i="5"/>
  <c r="Q53" i="2"/>
  <c r="Q52" i="2" s="1"/>
  <c r="Q64" i="2" s="1"/>
  <c r="V7" i="23"/>
  <c r="V6" i="23" s="1"/>
  <c r="V18" i="23" s="1"/>
  <c r="R159" i="5"/>
  <c r="X159" i="5"/>
  <c r="AB7" i="23"/>
  <c r="AB6" i="23" s="1"/>
  <c r="AB18" i="23" s="1"/>
  <c r="W53" i="2"/>
  <c r="W52" i="2" s="1"/>
  <c r="W64" i="2" s="1"/>
  <c r="AD221" i="8"/>
  <c r="AD9" i="2"/>
  <c r="AD96" i="5"/>
  <c r="AD354" i="8"/>
  <c r="AD259" i="8" s="1"/>
  <c r="H354" i="8"/>
  <c r="H259" i="8" s="1"/>
  <c r="H96" i="5"/>
  <c r="H255" i="8" s="1"/>
  <c r="H9" i="2"/>
  <c r="H221" i="8"/>
  <c r="H222" i="8" s="1"/>
  <c r="H228" i="8" s="1"/>
  <c r="H229" i="8" s="1"/>
  <c r="AH7" i="23"/>
  <c r="AD159" i="5"/>
  <c r="AC53" i="2"/>
  <c r="AE9" i="2"/>
  <c r="AE221" i="8"/>
  <c r="AE354" i="8"/>
  <c r="AE259" i="8" s="1"/>
  <c r="AE96" i="5"/>
  <c r="AA158" i="5"/>
  <c r="AA95" i="5"/>
  <c r="Y53" i="2"/>
  <c r="Z159" i="5"/>
  <c r="AD7" i="23"/>
  <c r="AD6" i="23" s="1"/>
  <c r="AD18" i="23" s="1"/>
  <c r="AF8" i="23"/>
  <c r="AA54" i="2"/>
  <c r="AF154" i="5"/>
  <c r="V33" i="2"/>
  <c r="V287" i="8"/>
  <c r="V289" i="8" s="1"/>
  <c r="V236" i="8"/>
  <c r="V238" i="8" s="1"/>
  <c r="V242" i="8" s="1"/>
  <c r="V160" i="5"/>
  <c r="AH8" i="23"/>
  <c r="AC54" i="2"/>
  <c r="L33" i="2"/>
  <c r="L287" i="8"/>
  <c r="L289" i="8" s="1"/>
  <c r="L236" i="8"/>
  <c r="L238" i="8" s="1"/>
  <c r="L242" i="8" s="1"/>
  <c r="L160" i="5"/>
  <c r="U154" i="5"/>
  <c r="F154" i="5"/>
  <c r="S9" i="2"/>
  <c r="S221" i="8"/>
  <c r="S96" i="5"/>
  <c r="S354" i="8"/>
  <c r="S259" i="8" s="1"/>
  <c r="J33" i="2"/>
  <c r="J160" i="5"/>
  <c r="J287" i="8"/>
  <c r="J289" i="8" s="1"/>
  <c r="J236" i="8"/>
  <c r="J238" i="8" s="1"/>
  <c r="J242" i="8" s="1"/>
  <c r="AG33" i="2"/>
  <c r="AG287" i="8"/>
  <c r="AG289" i="8" s="1"/>
  <c r="AG236" i="8"/>
  <c r="AG238" i="8" s="1"/>
  <c r="AG242" i="8" s="1"/>
  <c r="AG160" i="5"/>
  <c r="AC154" i="5"/>
  <c r="AE54" i="2"/>
  <c r="AJ8" i="23"/>
  <c r="E9" i="2"/>
  <c r="E221" i="8"/>
  <c r="E96" i="5"/>
  <c r="E255" i="8" s="1"/>
  <c r="E354" i="8"/>
  <c r="E259" i="8" s="1"/>
  <c r="U158" i="5"/>
  <c r="M9" i="2"/>
  <c r="M221" i="8"/>
  <c r="M354" i="8"/>
  <c r="M259" i="8" s="1"/>
  <c r="M96" i="5"/>
  <c r="M255" i="8" s="1"/>
  <c r="R7" i="23"/>
  <c r="R6" i="23" s="1"/>
  <c r="R18" i="23" s="1"/>
  <c r="M53" i="2"/>
  <c r="N159" i="5"/>
  <c r="O154" i="5"/>
  <c r="S154" i="5"/>
  <c r="I154" i="5"/>
  <c r="Y159" i="5"/>
  <c r="X53" i="2"/>
  <c r="X52" i="2" s="1"/>
  <c r="X64" i="2" s="1"/>
  <c r="AC7" i="23"/>
  <c r="AC6" i="23" s="1"/>
  <c r="AC18" i="23" s="1"/>
  <c r="AD53" i="2"/>
  <c r="AE159" i="5"/>
  <c r="AI7" i="23"/>
  <c r="F158" i="5"/>
  <c r="H158" i="5"/>
  <c r="AI8" i="23"/>
  <c r="AD54" i="2"/>
  <c r="M154" i="5"/>
  <c r="P154" i="5"/>
  <c r="Q33" i="2"/>
  <c r="Q236" i="8"/>
  <c r="Q238" i="8" s="1"/>
  <c r="Q242" i="8" s="1"/>
  <c r="Q160" i="5"/>
  <c r="Q287" i="8"/>
  <c r="Q289" i="8" s="1"/>
  <c r="Z96" i="5"/>
  <c r="Z9" i="2"/>
  <c r="Z221" i="8"/>
  <c r="Z354" i="8"/>
  <c r="Z259" i="8" s="1"/>
  <c r="T33" i="2"/>
  <c r="T236" i="8"/>
  <c r="T238" i="8" s="1"/>
  <c r="T242" i="8" s="1"/>
  <c r="T287" i="8"/>
  <c r="T289" i="8" s="1"/>
  <c r="T160" i="5"/>
  <c r="AH154" i="5"/>
  <c r="G154" i="5"/>
  <c r="R54" i="2"/>
  <c r="W8" i="23"/>
  <c r="K95" i="5"/>
  <c r="D54" i="2"/>
  <c r="D52" i="2" s="1"/>
  <c r="D64" i="2" s="1"/>
  <c r="I8" i="23"/>
  <c r="I6" i="23" s="1"/>
  <c r="AI154" i="5"/>
  <c r="V54" i="2"/>
  <c r="AA8" i="23"/>
  <c r="N54" i="2"/>
  <c r="S8" i="23"/>
  <c r="E159" i="5"/>
  <c r="P95" i="5"/>
  <c r="P158" i="5"/>
  <c r="I95" i="5"/>
  <c r="AB154" i="5"/>
  <c r="M8" i="23" l="1"/>
  <c r="Y52" i="2"/>
  <c r="Y64" i="2" s="1"/>
  <c r="AC9" i="2"/>
  <c r="O8" i="23"/>
  <c r="F9" i="2"/>
  <c r="G53" i="2"/>
  <c r="AC354" i="8"/>
  <c r="AC259" i="8" s="1"/>
  <c r="AG8" i="23"/>
  <c r="F354" i="8"/>
  <c r="F259" i="8" s="1"/>
  <c r="Z53" i="2"/>
  <c r="M52" i="2"/>
  <c r="M64" i="2" s="1"/>
  <c r="F96" i="5"/>
  <c r="F255" i="8" s="1"/>
  <c r="U96" i="5"/>
  <c r="T168" i="5"/>
  <c r="AC221" i="8"/>
  <c r="AA6" i="23"/>
  <c r="AA18" i="23" s="1"/>
  <c r="U354" i="8"/>
  <c r="U259" i="8" s="1"/>
  <c r="I221" i="8"/>
  <c r="I96" i="5"/>
  <c r="I255" i="8" s="1"/>
  <c r="I9" i="2"/>
  <c r="I354" i="8"/>
  <c r="I259" i="8" s="1"/>
  <c r="T8" i="23"/>
  <c r="O54" i="2"/>
  <c r="E33" i="2"/>
  <c r="E236" i="8"/>
  <c r="E238" i="8" s="1"/>
  <c r="E287" i="8"/>
  <c r="E289" i="8" s="1"/>
  <c r="E160" i="5"/>
  <c r="K9" i="2"/>
  <c r="K221" i="8"/>
  <c r="K96" i="5"/>
  <c r="K255" i="8" s="1"/>
  <c r="K354" i="8"/>
  <c r="K259" i="8" s="1"/>
  <c r="AG53" i="2"/>
  <c r="AG52" i="2" s="1"/>
  <c r="AG64" i="2" s="1"/>
  <c r="AH159" i="5"/>
  <c r="Q32" i="2"/>
  <c r="Q36" i="2" s="1"/>
  <c r="Q14" i="21"/>
  <c r="Q15" i="21" s="1"/>
  <c r="Q25" i="21" s="1"/>
  <c r="P159" i="5"/>
  <c r="O53" i="2"/>
  <c r="T7" i="23"/>
  <c r="T6" i="23" s="1"/>
  <c r="T18" i="23" s="1"/>
  <c r="L8" i="23"/>
  <c r="L6" i="23" s="1"/>
  <c r="L18" i="23" s="1"/>
  <c r="G54" i="2"/>
  <c r="J8" i="23"/>
  <c r="E54" i="2"/>
  <c r="AE33" i="2"/>
  <c r="AE236" i="8"/>
  <c r="AE238" i="8" s="1"/>
  <c r="AE242" i="8" s="1"/>
  <c r="AE160" i="5"/>
  <c r="AE287" i="8"/>
  <c r="AE289" i="8" s="1"/>
  <c r="Y33" i="2"/>
  <c r="Y287" i="8"/>
  <c r="Y289" i="8" s="1"/>
  <c r="Y236" i="8"/>
  <c r="Y238" i="8" s="1"/>
  <c r="Y242" i="8" s="1"/>
  <c r="Y160" i="5"/>
  <c r="W7" i="23"/>
  <c r="W6" i="23" s="1"/>
  <c r="W18" i="23" s="1"/>
  <c r="S159" i="5"/>
  <c r="R53" i="2"/>
  <c r="R52" i="2" s="1"/>
  <c r="R64" i="2" s="1"/>
  <c r="N287" i="8"/>
  <c r="N289" i="8" s="1"/>
  <c r="N236" i="8"/>
  <c r="N238" i="8" s="1"/>
  <c r="N242" i="8" s="1"/>
  <c r="N33" i="2"/>
  <c r="N160" i="5"/>
  <c r="AC159" i="5"/>
  <c r="AB53" i="2"/>
  <c r="AB52" i="2" s="1"/>
  <c r="AB64" i="2" s="1"/>
  <c r="AG7" i="23"/>
  <c r="AG6" i="23" s="1"/>
  <c r="AG18" i="23" s="1"/>
  <c r="AG168" i="5"/>
  <c r="J32" i="2"/>
  <c r="J36" i="2" s="1"/>
  <c r="J14" i="21"/>
  <c r="J15" i="21" s="1"/>
  <c r="J25" i="21" s="1"/>
  <c r="J168" i="5"/>
  <c r="H159" i="5"/>
  <c r="I18" i="23"/>
  <c r="L14" i="21"/>
  <c r="L15" i="21" s="1"/>
  <c r="L25" i="21" s="1"/>
  <c r="L32" i="2"/>
  <c r="L36" i="2" s="1"/>
  <c r="V168" i="5"/>
  <c r="AJ7" i="23"/>
  <c r="AJ6" i="23" s="1"/>
  <c r="AJ18" i="23" s="1"/>
  <c r="AE53" i="2"/>
  <c r="AE52" i="2" s="1"/>
  <c r="AE64" i="2" s="1"/>
  <c r="AF159" i="5"/>
  <c r="Z54" i="2"/>
  <c r="AE8" i="23"/>
  <c r="AD33" i="2"/>
  <c r="AD160" i="5"/>
  <c r="AD236" i="8"/>
  <c r="AD238" i="8" s="1"/>
  <c r="AD242" i="8" s="1"/>
  <c r="AD287" i="8"/>
  <c r="AD289" i="8" s="1"/>
  <c r="R33" i="2"/>
  <c r="R160" i="5"/>
  <c r="R236" i="8"/>
  <c r="R238" i="8" s="1"/>
  <c r="R242" i="8" s="1"/>
  <c r="R287" i="8"/>
  <c r="R289" i="8" s="1"/>
  <c r="F54" i="2"/>
  <c r="K8" i="23"/>
  <c r="O7" i="23"/>
  <c r="J53" i="2"/>
  <c r="J52" i="2" s="1"/>
  <c r="J64" i="2" s="1"/>
  <c r="K159" i="5"/>
  <c r="AB159" i="5"/>
  <c r="AA53" i="2"/>
  <c r="AA52" i="2" s="1"/>
  <c r="AA64" i="2" s="1"/>
  <c r="AF7" i="23"/>
  <c r="AF6" i="23" s="1"/>
  <c r="AF18" i="23" s="1"/>
  <c r="P9" i="2"/>
  <c r="P221" i="8"/>
  <c r="P96" i="5"/>
  <c r="P354" i="8"/>
  <c r="P259" i="8" s="1"/>
  <c r="AH53" i="2"/>
  <c r="AH52" i="2" s="1"/>
  <c r="AH64" i="2" s="1"/>
  <c r="AI159" i="5"/>
  <c r="K7" i="23"/>
  <c r="F53" i="2"/>
  <c r="G159" i="5"/>
  <c r="T14" i="21"/>
  <c r="T15" i="21" s="1"/>
  <c r="T25" i="21" s="1"/>
  <c r="T32" i="2"/>
  <c r="T36" i="2" s="1"/>
  <c r="Q168" i="5"/>
  <c r="L53" i="2"/>
  <c r="L52" i="2" s="1"/>
  <c r="L64" i="2" s="1"/>
  <c r="M159" i="5"/>
  <c r="Q7" i="23"/>
  <c r="Q6" i="23" s="1"/>
  <c r="Q18" i="23" s="1"/>
  <c r="AI6" i="23"/>
  <c r="AI18" i="23" s="1"/>
  <c r="AD52" i="2"/>
  <c r="AD64" i="2" s="1"/>
  <c r="H53" i="2"/>
  <c r="H52" i="2" s="1"/>
  <c r="H64" i="2" s="1"/>
  <c r="I159" i="5"/>
  <c r="M7" i="23"/>
  <c r="M6" i="23" s="1"/>
  <c r="M18" i="23" s="1"/>
  <c r="N53" i="2"/>
  <c r="N52" i="2" s="1"/>
  <c r="N64" i="2" s="1"/>
  <c r="S7" i="23"/>
  <c r="S6" i="23" s="1"/>
  <c r="S18" i="23" s="1"/>
  <c r="O159" i="5"/>
  <c r="T54" i="2"/>
  <c r="Y8" i="23"/>
  <c r="AG32" i="2"/>
  <c r="AG36" i="2" s="1"/>
  <c r="AG14" i="21"/>
  <c r="AG15" i="21" s="1"/>
  <c r="AG25" i="21" s="1"/>
  <c r="E53" i="2"/>
  <c r="J7" i="23"/>
  <c r="F159" i="5"/>
  <c r="T53" i="2"/>
  <c r="U159" i="5"/>
  <c r="Y7" i="23"/>
  <c r="L168" i="5"/>
  <c r="V14" i="21"/>
  <c r="V15" i="21" s="1"/>
  <c r="V25" i="21" s="1"/>
  <c r="V32" i="2"/>
  <c r="V36" i="2" s="1"/>
  <c r="Z33" i="2"/>
  <c r="Z160" i="5"/>
  <c r="Z287" i="8"/>
  <c r="Z289" i="8" s="1"/>
  <c r="Z236" i="8"/>
  <c r="Z238" i="8" s="1"/>
  <c r="Z242" i="8" s="1"/>
  <c r="AA96" i="5"/>
  <c r="AA221" i="8"/>
  <c r="AA9" i="2"/>
  <c r="AA354" i="8"/>
  <c r="AA259" i="8" s="1"/>
  <c r="AC52" i="2"/>
  <c r="AC64" i="2" s="1"/>
  <c r="AH6" i="23"/>
  <c r="AH18" i="23" s="1"/>
  <c r="X160" i="5"/>
  <c r="X33" i="2"/>
  <c r="X236" i="8"/>
  <c r="X238" i="8" s="1"/>
  <c r="X242" i="8" s="1"/>
  <c r="X287" i="8"/>
  <c r="X289" i="8" s="1"/>
  <c r="AA159" i="5"/>
  <c r="AE6" i="23"/>
  <c r="AE18" i="23" s="1"/>
  <c r="V52" i="2"/>
  <c r="V64" i="2" s="1"/>
  <c r="W236" i="8"/>
  <c r="W238" i="8" s="1"/>
  <c r="W242" i="8" s="1"/>
  <c r="W33" i="2"/>
  <c r="W287" i="8"/>
  <c r="W289" i="8" s="1"/>
  <c r="W160" i="5"/>
  <c r="Z52" i="2" l="1"/>
  <c r="Z64" i="2" s="1"/>
  <c r="O6" i="23"/>
  <c r="O18" i="23" s="1"/>
  <c r="G52" i="2"/>
  <c r="G64" i="2" s="1"/>
  <c r="T52" i="2"/>
  <c r="T64" i="2" s="1"/>
  <c r="F52" i="2"/>
  <c r="F64" i="2" s="1"/>
  <c r="Y6" i="23"/>
  <c r="Y18" i="23" s="1"/>
  <c r="Y168" i="5"/>
  <c r="W168" i="5"/>
  <c r="X168" i="5"/>
  <c r="Z168" i="5"/>
  <c r="K6" i="23"/>
  <c r="K18" i="23" s="1"/>
  <c r="W32" i="2"/>
  <c r="W36" i="2" s="1"/>
  <c r="W14" i="21"/>
  <c r="W15" i="21" s="1"/>
  <c r="W25" i="21" s="1"/>
  <c r="J6" i="23"/>
  <c r="M33" i="2"/>
  <c r="M287" i="8"/>
  <c r="M289" i="8" s="1"/>
  <c r="M160" i="5"/>
  <c r="M236" i="8"/>
  <c r="M238" i="8" s="1"/>
  <c r="M242" i="8" s="1"/>
  <c r="G33" i="2"/>
  <c r="G160" i="5"/>
  <c r="G287" i="8"/>
  <c r="G289" i="8" s="1"/>
  <c r="G236" i="8"/>
  <c r="G238" i="8" s="1"/>
  <c r="G242" i="8" s="1"/>
  <c r="AI33" i="2"/>
  <c r="AI236" i="8"/>
  <c r="AI238" i="8" s="1"/>
  <c r="AI242" i="8" s="1"/>
  <c r="AI160" i="5"/>
  <c r="AI287" i="8"/>
  <c r="AI289" i="8" s="1"/>
  <c r="AB33" i="2"/>
  <c r="AB236" i="8"/>
  <c r="AB238" i="8" s="1"/>
  <c r="AB242" i="8" s="1"/>
  <c r="AB287" i="8"/>
  <c r="AB289" i="8" s="1"/>
  <c r="AB160" i="5"/>
  <c r="AD32" i="2"/>
  <c r="AD36" i="2" s="1"/>
  <c r="AD14" i="21"/>
  <c r="AD15" i="21" s="1"/>
  <c r="AD25" i="21" s="1"/>
  <c r="N14" i="21"/>
  <c r="N15" i="21" s="1"/>
  <c r="N25" i="21" s="1"/>
  <c r="N32" i="2"/>
  <c r="N36" i="2" s="1"/>
  <c r="N168" i="5"/>
  <c r="S33" i="2"/>
  <c r="S236" i="8"/>
  <c r="S238" i="8" s="1"/>
  <c r="S242" i="8" s="1"/>
  <c r="S287" i="8"/>
  <c r="S289" i="8" s="1"/>
  <c r="S160" i="5"/>
  <c r="Y32" i="2"/>
  <c r="Y36" i="2" s="1"/>
  <c r="Y14" i="21"/>
  <c r="Y15" i="21" s="1"/>
  <c r="Y25" i="21" s="1"/>
  <c r="AE32" i="2"/>
  <c r="AE36" i="2" s="1"/>
  <c r="AE14" i="21"/>
  <c r="AE15" i="21" s="1"/>
  <c r="AE25" i="21" s="1"/>
  <c r="P33" i="2"/>
  <c r="P287" i="8"/>
  <c r="P289" i="8" s="1"/>
  <c r="P236" i="8"/>
  <c r="P238" i="8" s="1"/>
  <c r="P242" i="8" s="1"/>
  <c r="P160" i="5"/>
  <c r="AH33" i="2"/>
  <c r="AH236" i="8"/>
  <c r="AH238" i="8" s="1"/>
  <c r="AH242" i="8" s="1"/>
  <c r="AH287" i="8"/>
  <c r="AH289" i="8" s="1"/>
  <c r="AH160" i="5"/>
  <c r="E32" i="2"/>
  <c r="E36" i="2" s="1"/>
  <c r="E14" i="21"/>
  <c r="E15" i="21" s="1"/>
  <c r="AA33" i="2"/>
  <c r="AA287" i="8"/>
  <c r="AA289" i="8" s="1"/>
  <c r="AA160" i="5"/>
  <c r="AA236" i="8"/>
  <c r="AA238" i="8" s="1"/>
  <c r="AA242" i="8" s="1"/>
  <c r="X32" i="2"/>
  <c r="X36" i="2" s="1"/>
  <c r="X14" i="21"/>
  <c r="X15" i="21" s="1"/>
  <c r="X25" i="21" s="1"/>
  <c r="Z14" i="21"/>
  <c r="Z15" i="21" s="1"/>
  <c r="Z25" i="21" s="1"/>
  <c r="Z32" i="2"/>
  <c r="Z36" i="2" s="1"/>
  <c r="U33" i="2"/>
  <c r="U236" i="8"/>
  <c r="U238" i="8" s="1"/>
  <c r="U242" i="8" s="1"/>
  <c r="U287" i="8"/>
  <c r="U289" i="8" s="1"/>
  <c r="U160" i="5"/>
  <c r="F33" i="2"/>
  <c r="F236" i="8"/>
  <c r="F238" i="8" s="1"/>
  <c r="F242" i="8" s="1"/>
  <c r="F160" i="5"/>
  <c r="F287" i="8"/>
  <c r="F289" i="8" s="1"/>
  <c r="E52" i="2"/>
  <c r="E64" i="2" s="1"/>
  <c r="O33" i="2"/>
  <c r="O287" i="8"/>
  <c r="O289" i="8" s="1"/>
  <c r="O160" i="5"/>
  <c r="O236" i="8"/>
  <c r="O238" i="8" s="1"/>
  <c r="O242" i="8" s="1"/>
  <c r="I33" i="2"/>
  <c r="I236" i="8"/>
  <c r="I238" i="8" s="1"/>
  <c r="I242" i="8" s="1"/>
  <c r="I287" i="8"/>
  <c r="I289" i="8" s="1"/>
  <c r="I160" i="5"/>
  <c r="K33" i="2"/>
  <c r="K236" i="8"/>
  <c r="K238" i="8" s="1"/>
  <c r="K242" i="8" s="1"/>
  <c r="K287" i="8"/>
  <c r="K289" i="8" s="1"/>
  <c r="K160" i="5"/>
  <c r="R14" i="21"/>
  <c r="R15" i="21" s="1"/>
  <c r="R25" i="21" s="1"/>
  <c r="R32" i="2"/>
  <c r="R36" i="2" s="1"/>
  <c r="R168" i="5"/>
  <c r="AD168" i="5"/>
  <c r="AF33" i="2"/>
  <c r="AF236" i="8"/>
  <c r="AF238" i="8" s="1"/>
  <c r="AF242" i="8" s="1"/>
  <c r="AF287" i="8"/>
  <c r="AF289" i="8" s="1"/>
  <c r="AF160" i="5"/>
  <c r="H33" i="2"/>
  <c r="H236" i="8"/>
  <c r="H238" i="8" s="1"/>
  <c r="H242" i="8" s="1"/>
  <c r="H287" i="8"/>
  <c r="H289" i="8" s="1"/>
  <c r="H160" i="5"/>
  <c r="AC33" i="2"/>
  <c r="AC236" i="8"/>
  <c r="AC238" i="8" s="1"/>
  <c r="AC242" i="8" s="1"/>
  <c r="AC287" i="8"/>
  <c r="AC289" i="8" s="1"/>
  <c r="AC160" i="5"/>
  <c r="AE168" i="5"/>
  <c r="O52" i="2"/>
  <c r="O64" i="2" s="1"/>
  <c r="E242" i="8"/>
  <c r="E168" i="5"/>
  <c r="S168" i="5" l="1"/>
  <c r="F168" i="5"/>
  <c r="G168" i="5"/>
  <c r="I168" i="5"/>
  <c r="AB168" i="5"/>
  <c r="M168" i="5"/>
  <c r="AF14" i="21"/>
  <c r="AF15" i="21" s="1"/>
  <c r="AF25" i="21" s="1"/>
  <c r="AF32" i="2"/>
  <c r="AF36" i="2" s="1"/>
  <c r="AF168" i="5"/>
  <c r="K14" i="21"/>
  <c r="K15" i="21" s="1"/>
  <c r="K25" i="21" s="1"/>
  <c r="K32" i="2"/>
  <c r="K36" i="2" s="1"/>
  <c r="K168" i="5"/>
  <c r="F14" i="21"/>
  <c r="F15" i="21" s="1"/>
  <c r="F25" i="21" s="1"/>
  <c r="F32" i="2"/>
  <c r="F36" i="2" s="1"/>
  <c r="AA32" i="2"/>
  <c r="AA36" i="2" s="1"/>
  <c r="AA14" i="21"/>
  <c r="AA15" i="21" s="1"/>
  <c r="AA25" i="21" s="1"/>
  <c r="E25" i="21"/>
  <c r="G14" i="21"/>
  <c r="G15" i="21" s="1"/>
  <c r="G25" i="21" s="1"/>
  <c r="G32" i="2"/>
  <c r="G36" i="2" s="1"/>
  <c r="M14" i="21"/>
  <c r="M15" i="21" s="1"/>
  <c r="M25" i="21" s="1"/>
  <c r="M32" i="2"/>
  <c r="M36" i="2" s="1"/>
  <c r="J18" i="23"/>
  <c r="AC32" i="2"/>
  <c r="AC36" i="2" s="1"/>
  <c r="AC14" i="21"/>
  <c r="AC15" i="21" s="1"/>
  <c r="AC25" i="21" s="1"/>
  <c r="AC168" i="5"/>
  <c r="H14" i="21"/>
  <c r="H15" i="21" s="1"/>
  <c r="H25" i="21" s="1"/>
  <c r="H32" i="2"/>
  <c r="H36" i="2" s="1"/>
  <c r="H168" i="5"/>
  <c r="I32" i="2"/>
  <c r="I36" i="2" s="1"/>
  <c r="I14" i="21"/>
  <c r="I15" i="21" s="1"/>
  <c r="I25" i="21" s="1"/>
  <c r="O32" i="2"/>
  <c r="O36" i="2" s="1"/>
  <c r="O14" i="21"/>
  <c r="O15" i="21" s="1"/>
  <c r="O25" i="21" s="1"/>
  <c r="O168" i="5"/>
  <c r="U32" i="2"/>
  <c r="U36" i="2" s="1"/>
  <c r="U14" i="21"/>
  <c r="U15" i="21" s="1"/>
  <c r="U25" i="21" s="1"/>
  <c r="U168" i="5"/>
  <c r="AA168" i="5"/>
  <c r="AH32" i="2"/>
  <c r="AH36" i="2" s="1"/>
  <c r="AH14" i="21"/>
  <c r="AH15" i="21" s="1"/>
  <c r="AH25" i="21" s="1"/>
  <c r="AH168" i="5"/>
  <c r="P32" i="2"/>
  <c r="P36" i="2" s="1"/>
  <c r="P14" i="21"/>
  <c r="P15" i="21" s="1"/>
  <c r="P25" i="21" s="1"/>
  <c r="P168" i="5"/>
  <c r="S32" i="2"/>
  <c r="S36" i="2" s="1"/>
  <c r="S14" i="21"/>
  <c r="S15" i="21" s="1"/>
  <c r="S25" i="21" s="1"/>
  <c r="AB14" i="21"/>
  <c r="AB15" i="21" s="1"/>
  <c r="AB25" i="21" s="1"/>
  <c r="AB32" i="2"/>
  <c r="AB36" i="2" s="1"/>
  <c r="AI32" i="2"/>
  <c r="AI36" i="2" s="1"/>
  <c r="AI14" i="21"/>
  <c r="AI15" i="21" s="1"/>
  <c r="AI25" i="21" s="1"/>
  <c r="AI168" i="5"/>
  <c r="D9" i="7"/>
  <c r="D10" i="7" l="1"/>
  <c r="D14" i="7" l="1"/>
  <c r="D15" i="7" l="1"/>
  <c r="B6" i="14" s="1"/>
  <c r="D21" i="7"/>
  <c r="D23" i="7" s="1"/>
  <c r="D25" i="7" s="1"/>
  <c r="D28" i="7" s="1"/>
  <c r="D20" i="7"/>
  <c r="D22" i="7" s="1"/>
  <c r="D24" i="7" s="1"/>
  <c r="D27" i="7" s="1"/>
  <c r="D36" i="7" l="1"/>
  <c r="D37" i="7" s="1"/>
  <c r="D123" i="5"/>
  <c r="D33" i="7"/>
  <c r="D34" i="7" s="1"/>
  <c r="D110" i="5"/>
  <c r="B11" i="14"/>
  <c r="B10" i="14"/>
  <c r="D38" i="7" l="1"/>
  <c r="D39" i="7" s="1"/>
  <c r="J149" i="1" s="1"/>
  <c r="K149" i="1" s="1"/>
  <c r="D89" i="5"/>
  <c r="D88" i="5"/>
  <c r="D87" i="5"/>
  <c r="D92" i="5"/>
  <c r="D93" i="5"/>
  <c r="D91" i="5"/>
  <c r="D155" i="5" l="1"/>
  <c r="D94" i="5"/>
  <c r="D323" i="8"/>
  <c r="D156" i="5"/>
  <c r="D324" i="8"/>
  <c r="D319" i="8"/>
  <c r="D152" i="5"/>
  <c r="D157" i="5"/>
  <c r="D325" i="8"/>
  <c r="D90" i="5"/>
  <c r="D318" i="8"/>
  <c r="D151" i="5"/>
  <c r="D320" i="8"/>
  <c r="D153" i="5"/>
  <c r="D154" i="5" l="1"/>
  <c r="D95" i="5"/>
  <c r="D158" i="5"/>
  <c r="D9" i="2" l="1"/>
  <c r="D354" i="8"/>
  <c r="D259" i="8" s="1"/>
  <c r="D221" i="8"/>
  <c r="D96" i="5"/>
  <c r="D255" i="8" s="1"/>
  <c r="C54" i="2"/>
  <c r="H8" i="23"/>
  <c r="AK8" i="23" s="1"/>
  <c r="H7" i="23"/>
  <c r="C53" i="2"/>
  <c r="D159" i="5"/>
  <c r="C52" i="2" l="1"/>
  <c r="C64" i="2" s="1"/>
  <c r="F33" i="23" s="1"/>
  <c r="D33" i="2"/>
  <c r="D287" i="8"/>
  <c r="D289" i="8" s="1"/>
  <c r="D236" i="8"/>
  <c r="D238" i="8" s="1"/>
  <c r="D160" i="5"/>
  <c r="B164" i="8"/>
  <c r="D15" i="13" s="1"/>
  <c r="D17" i="13" s="1"/>
  <c r="D18" i="13" s="1"/>
  <c r="D19" i="13" s="1"/>
  <c r="AK7" i="23"/>
  <c r="H6" i="23"/>
  <c r="AK6" i="23" l="1"/>
  <c r="H25" i="23" s="1"/>
  <c r="H18" i="23"/>
  <c r="J25" i="23"/>
  <c r="C51" i="13"/>
  <c r="D51" i="13" s="1"/>
  <c r="C45" i="13"/>
  <c r="C33" i="13"/>
  <c r="E33" i="13" s="1"/>
  <c r="C39" i="13"/>
  <c r="E39" i="13" s="1"/>
  <c r="B166" i="8"/>
  <c r="D242" i="8"/>
  <c r="D168" i="5"/>
  <c r="B163" i="8"/>
  <c r="D14" i="21"/>
  <c r="D15" i="21" s="1"/>
  <c r="D32" i="2"/>
  <c r="D36" i="2" s="1"/>
  <c r="C33" i="21" l="1"/>
  <c r="C28" i="21"/>
  <c r="D25" i="21"/>
  <c r="D45" i="13"/>
  <c r="G33" i="13"/>
  <c r="J29" i="23"/>
  <c r="H33" i="23" s="1"/>
  <c r="J33" i="23" s="1"/>
  <c r="AK18" i="23"/>
  <c r="H29" i="23" s="1"/>
  <c r="M243" i="8"/>
  <c r="C25" i="13" s="1"/>
  <c r="M244" i="8"/>
  <c r="C26" i="13" s="1"/>
  <c r="G39" i="13"/>
  <c r="F51" i="13" s="1"/>
  <c r="G51" i="13" s="1"/>
  <c r="E51" i="13" s="1"/>
  <c r="B119" i="5" l="1"/>
  <c r="F39" i="13"/>
  <c r="B10" i="19"/>
  <c r="F33" i="13"/>
  <c r="F35" i="13"/>
  <c r="C26" i="21"/>
  <c r="C27" i="21"/>
  <c r="J138" i="1" l="1"/>
  <c r="B214" i="8"/>
  <c r="B12" i="19"/>
  <c r="B13" i="19" s="1"/>
  <c r="C11" i="19" l="1"/>
  <c r="B20" i="19"/>
  <c r="B23" i="19"/>
  <c r="P209" i="8"/>
  <c r="N209" i="8"/>
  <c r="I209" i="8"/>
  <c r="Y209" i="8"/>
  <c r="AE209" i="8"/>
  <c r="X209" i="8"/>
  <c r="V209" i="8"/>
  <c r="AF209" i="8"/>
  <c r="AC209" i="8"/>
  <c r="AB209" i="8"/>
  <c r="U209" i="8"/>
  <c r="T209" i="8"/>
  <c r="M209" i="8"/>
  <c r="L209" i="8"/>
  <c r="H209" i="8"/>
  <c r="G209" i="8"/>
  <c r="C209" i="8"/>
  <c r="B209" i="8"/>
  <c r="B215" i="8"/>
  <c r="D321" i="8" s="1"/>
  <c r="W209" i="8"/>
  <c r="O209" i="8"/>
  <c r="AD209" i="8"/>
  <c r="D209" i="8"/>
  <c r="Q209" i="8"/>
  <c r="AG209" i="8"/>
  <c r="AI209" i="8"/>
  <c r="AH209" i="8"/>
  <c r="AA209" i="8"/>
  <c r="Z209" i="8"/>
  <c r="S209" i="8"/>
  <c r="R209" i="8"/>
  <c r="K209" i="8"/>
  <c r="J209" i="8"/>
  <c r="F209" i="8"/>
  <c r="E209" i="8"/>
  <c r="C10" i="19"/>
  <c r="C12" i="19"/>
  <c r="E371" i="8" l="1"/>
  <c r="E204" i="8"/>
  <c r="E19" i="2"/>
  <c r="J371" i="8"/>
  <c r="J204" i="8"/>
  <c r="J19" i="2"/>
  <c r="R371" i="8"/>
  <c r="R204" i="8"/>
  <c r="R19" i="2"/>
  <c r="Z371" i="8"/>
  <c r="Z19" i="2"/>
  <c r="Z204" i="8"/>
  <c r="AH371" i="8"/>
  <c r="AH204" i="8"/>
  <c r="AH19" i="2"/>
  <c r="AG371" i="8"/>
  <c r="AG19" i="2"/>
  <c r="AG204" i="8"/>
  <c r="D371" i="8"/>
  <c r="D204" i="8"/>
  <c r="D19" i="2"/>
  <c r="O371" i="8"/>
  <c r="O19" i="2"/>
  <c r="O204" i="8"/>
  <c r="D317" i="8"/>
  <c r="B326" i="8"/>
  <c r="E326" i="8"/>
  <c r="F326" i="8"/>
  <c r="H326" i="8"/>
  <c r="L326" i="8"/>
  <c r="R326" i="8"/>
  <c r="T326" i="8"/>
  <c r="X326" i="8"/>
  <c r="D326" i="8"/>
  <c r="E321" i="8"/>
  <c r="E317" i="8" s="1"/>
  <c r="G326" i="8"/>
  <c r="G321" i="8"/>
  <c r="G317" i="8" s="1"/>
  <c r="I321" i="8"/>
  <c r="I317" i="8" s="1"/>
  <c r="J321" i="8"/>
  <c r="J317" i="8" s="1"/>
  <c r="K326" i="8"/>
  <c r="M321" i="8"/>
  <c r="M317" i="8" s="1"/>
  <c r="N321" i="8"/>
  <c r="N317" i="8" s="1"/>
  <c r="O326" i="8"/>
  <c r="Q326" i="8"/>
  <c r="S321" i="8"/>
  <c r="S317" i="8" s="1"/>
  <c r="T321" i="8"/>
  <c r="T317" i="8" s="1"/>
  <c r="U326" i="8"/>
  <c r="U321" i="8"/>
  <c r="U317" i="8" s="1"/>
  <c r="V321" i="8"/>
  <c r="V317" i="8" s="1"/>
  <c r="W321" i="8"/>
  <c r="W317" i="8" s="1"/>
  <c r="Y321" i="8"/>
  <c r="Y317" i="8" s="1"/>
  <c r="Z321" i="8"/>
  <c r="Z317" i="8" s="1"/>
  <c r="AA326" i="8"/>
  <c r="AC321" i="8"/>
  <c r="AC317" i="8" s="1"/>
  <c r="AD321" i="8"/>
  <c r="AD317" i="8" s="1"/>
  <c r="AE321" i="8"/>
  <c r="AE317" i="8" s="1"/>
  <c r="AF321" i="8"/>
  <c r="AF317" i="8" s="1"/>
  <c r="AG326" i="8"/>
  <c r="AH321" i="8"/>
  <c r="AH317" i="8" s="1"/>
  <c r="K321" i="8"/>
  <c r="K317" i="8" s="1"/>
  <c r="L321" i="8"/>
  <c r="L317" i="8" s="1"/>
  <c r="M326" i="8"/>
  <c r="N326" i="8"/>
  <c r="O321" i="8"/>
  <c r="O317" i="8" s="1"/>
  <c r="P321" i="8"/>
  <c r="P317" i="8" s="1"/>
  <c r="Q321" i="8"/>
  <c r="Q317" i="8" s="1"/>
  <c r="R321" i="8"/>
  <c r="R317" i="8" s="1"/>
  <c r="S326" i="8"/>
  <c r="V326" i="8"/>
  <c r="W326" i="8"/>
  <c r="X321" i="8"/>
  <c r="X317" i="8" s="1"/>
  <c r="Y326" i="8"/>
  <c r="Z326" i="8"/>
  <c r="AB326" i="8"/>
  <c r="AA321" i="8"/>
  <c r="AA317" i="8" s="1"/>
  <c r="AB321" i="8"/>
  <c r="AB317" i="8" s="1"/>
  <c r="AC326" i="8"/>
  <c r="AE326" i="8"/>
  <c r="J326" i="8"/>
  <c r="P326" i="8"/>
  <c r="AD326" i="8"/>
  <c r="C326" i="8"/>
  <c r="B321" i="8"/>
  <c r="B317" i="8" s="1"/>
  <c r="C321" i="8"/>
  <c r="C317" i="8" s="1"/>
  <c r="F321" i="8"/>
  <c r="F317" i="8" s="1"/>
  <c r="H321" i="8"/>
  <c r="H317" i="8" s="1"/>
  <c r="I326" i="8"/>
  <c r="AG321" i="8"/>
  <c r="AG317" i="8" s="1"/>
  <c r="AI321" i="8"/>
  <c r="AI317" i="8" s="1"/>
  <c r="AF326" i="8"/>
  <c r="AI326" i="8"/>
  <c r="AH326" i="8"/>
  <c r="C371" i="8"/>
  <c r="C204" i="8"/>
  <c r="C19" i="2"/>
  <c r="H371" i="8"/>
  <c r="H204" i="8"/>
  <c r="H19" i="2"/>
  <c r="M371" i="8"/>
  <c r="M204" i="8"/>
  <c r="M19" i="2"/>
  <c r="U371" i="8"/>
  <c r="U204" i="8"/>
  <c r="U19" i="2"/>
  <c r="AC371" i="8"/>
  <c r="AC204" i="8"/>
  <c r="AC19" i="2"/>
  <c r="V371" i="8"/>
  <c r="V204" i="8"/>
  <c r="V19" i="2"/>
  <c r="AE371" i="8"/>
  <c r="AE19" i="2"/>
  <c r="AE204" i="8"/>
  <c r="I204" i="8"/>
  <c r="I19" i="2"/>
  <c r="I371" i="8"/>
  <c r="P371" i="8"/>
  <c r="P19" i="2"/>
  <c r="P204" i="8"/>
  <c r="C13" i="19"/>
  <c r="F371" i="8"/>
  <c r="F204" i="8"/>
  <c r="F19" i="2"/>
  <c r="K371" i="8"/>
  <c r="K204" i="8"/>
  <c r="K19" i="2"/>
  <c r="S371" i="8"/>
  <c r="S204" i="8"/>
  <c r="S19" i="2"/>
  <c r="AA371" i="8"/>
  <c r="AA204" i="8"/>
  <c r="AA19" i="2"/>
  <c r="AI371" i="8"/>
  <c r="AI19" i="2"/>
  <c r="AI204" i="8"/>
  <c r="Q371" i="8"/>
  <c r="Q19" i="2"/>
  <c r="Q204" i="8"/>
  <c r="AD371" i="8"/>
  <c r="AD19" i="2"/>
  <c r="AD204" i="8"/>
  <c r="W371" i="8"/>
  <c r="W19" i="2"/>
  <c r="W204" i="8"/>
  <c r="B19" i="2"/>
  <c r="B204" i="8"/>
  <c r="B371" i="8"/>
  <c r="G371" i="8"/>
  <c r="G204" i="8"/>
  <c r="G19" i="2"/>
  <c r="L371" i="8"/>
  <c r="L204" i="8"/>
  <c r="L19" i="2"/>
  <c r="T371" i="8"/>
  <c r="T204" i="8"/>
  <c r="T19" i="2"/>
  <c r="AB371" i="8"/>
  <c r="AB204" i="8"/>
  <c r="AB19" i="2"/>
  <c r="AF371" i="8"/>
  <c r="AF204" i="8"/>
  <c r="AF19" i="2"/>
  <c r="X371" i="8"/>
  <c r="X19" i="2"/>
  <c r="X204" i="8"/>
  <c r="Y371" i="8"/>
  <c r="Y19" i="2"/>
  <c r="Y204" i="8"/>
  <c r="N371" i="8"/>
  <c r="N204" i="8"/>
  <c r="N19" i="2"/>
  <c r="N208" i="8" l="1"/>
  <c r="N293" i="8" s="1"/>
  <c r="N294" i="8" s="1"/>
  <c r="N295" i="8" s="1"/>
  <c r="N207" i="8"/>
  <c r="N210" i="8" s="1"/>
  <c r="N220" i="8" s="1"/>
  <c r="N222" i="8" s="1"/>
  <c r="N228" i="8" s="1"/>
  <c r="N229" i="8" s="1"/>
  <c r="Y207" i="8"/>
  <c r="Y210" i="8" s="1"/>
  <c r="Y220" i="8" s="1"/>
  <c r="Y222" i="8" s="1"/>
  <c r="Y228" i="8" s="1"/>
  <c r="Y229" i="8" s="1"/>
  <c r="Y208" i="8"/>
  <c r="Y293" i="8" s="1"/>
  <c r="Y294" i="8" s="1"/>
  <c r="Y295" i="8" s="1"/>
  <c r="X17" i="2"/>
  <c r="X22" i="2" s="1"/>
  <c r="X43" i="2"/>
  <c r="X41" i="2" s="1"/>
  <c r="X46" i="2" s="1"/>
  <c r="X48" i="2" s="1"/>
  <c r="AF43" i="2"/>
  <c r="AF41" i="2" s="1"/>
  <c r="AF46" i="2" s="1"/>
  <c r="AF48" i="2" s="1"/>
  <c r="AF17" i="2"/>
  <c r="AF22" i="2" s="1"/>
  <c r="AB207" i="8"/>
  <c r="AB210" i="8" s="1"/>
  <c r="AB220" i="8" s="1"/>
  <c r="AB222" i="8" s="1"/>
  <c r="AB228" i="8" s="1"/>
  <c r="AB229" i="8" s="1"/>
  <c r="AB208" i="8"/>
  <c r="AB293" i="8" s="1"/>
  <c r="AB294" i="8" s="1"/>
  <c r="AB295" i="8" s="1"/>
  <c r="T43" i="2"/>
  <c r="T41" i="2" s="1"/>
  <c r="T46" i="2" s="1"/>
  <c r="T48" i="2" s="1"/>
  <c r="T17" i="2"/>
  <c r="T22" i="2" s="1"/>
  <c r="L207" i="8"/>
  <c r="L210" i="8" s="1"/>
  <c r="L220" i="8" s="1"/>
  <c r="L222" i="8" s="1"/>
  <c r="L228" i="8" s="1"/>
  <c r="L229" i="8" s="1"/>
  <c r="L208" i="8"/>
  <c r="L293" i="8" s="1"/>
  <c r="L294" i="8" s="1"/>
  <c r="L295" i="8" s="1"/>
  <c r="G17" i="2"/>
  <c r="G22" i="2" s="1"/>
  <c r="G43" i="2"/>
  <c r="G41" i="2" s="1"/>
  <c r="G46" i="2" s="1"/>
  <c r="G48" i="2" s="1"/>
  <c r="B208" i="8"/>
  <c r="B293" i="8" s="1"/>
  <c r="B294" i="8" s="1"/>
  <c r="B295" i="8" s="1"/>
  <c r="B207" i="8"/>
  <c r="B210" i="8" s="1"/>
  <c r="B220" i="8" s="1"/>
  <c r="B222" i="8" s="1"/>
  <c r="B228" i="8" s="1"/>
  <c r="W207" i="8"/>
  <c r="W210" i="8" s="1"/>
  <c r="W220" i="8" s="1"/>
  <c r="W222" i="8" s="1"/>
  <c r="W228" i="8" s="1"/>
  <c r="W229" i="8" s="1"/>
  <c r="W208" i="8"/>
  <c r="W293" i="8" s="1"/>
  <c r="W294" i="8" s="1"/>
  <c r="W295" i="8" s="1"/>
  <c r="AD17" i="2"/>
  <c r="AD22" i="2" s="1"/>
  <c r="AD43" i="2"/>
  <c r="AD41" i="2" s="1"/>
  <c r="AD46" i="2" s="1"/>
  <c r="AD48" i="2" s="1"/>
  <c r="Q207" i="8"/>
  <c r="Q210" i="8" s="1"/>
  <c r="Q220" i="8" s="1"/>
  <c r="Q222" i="8" s="1"/>
  <c r="Q228" i="8" s="1"/>
  <c r="Q229" i="8" s="1"/>
  <c r="Q208" i="8"/>
  <c r="Q293" i="8" s="1"/>
  <c r="Q294" i="8" s="1"/>
  <c r="Q295" i="8" s="1"/>
  <c r="AI17" i="2"/>
  <c r="AI22" i="2" s="1"/>
  <c r="AI43" i="2"/>
  <c r="AI41" i="2" s="1"/>
  <c r="AI46" i="2" s="1"/>
  <c r="AI48" i="2" s="1"/>
  <c r="AA17" i="2"/>
  <c r="AA22" i="2" s="1"/>
  <c r="AA43" i="2"/>
  <c r="AA41" i="2" s="1"/>
  <c r="AA46" i="2" s="1"/>
  <c r="AA48" i="2" s="1"/>
  <c r="S207" i="8"/>
  <c r="S210" i="8" s="1"/>
  <c r="S220" i="8" s="1"/>
  <c r="S222" i="8" s="1"/>
  <c r="S228" i="8" s="1"/>
  <c r="S229" i="8" s="1"/>
  <c r="S208" i="8"/>
  <c r="S293" i="8" s="1"/>
  <c r="S294" i="8" s="1"/>
  <c r="S295" i="8" s="1"/>
  <c r="K17" i="2"/>
  <c r="K22" i="2" s="1"/>
  <c r="K43" i="2"/>
  <c r="K41" i="2" s="1"/>
  <c r="K46" i="2" s="1"/>
  <c r="K48" i="2" s="1"/>
  <c r="E164" i="1"/>
  <c r="F207" i="8"/>
  <c r="F210" i="8" s="1"/>
  <c r="F220" i="8" s="1"/>
  <c r="F222" i="8" s="1"/>
  <c r="F228" i="8" s="1"/>
  <c r="F229" i="8" s="1"/>
  <c r="F208" i="8"/>
  <c r="F293" i="8" s="1"/>
  <c r="F294" i="8" s="1"/>
  <c r="F295" i="8" s="1"/>
  <c r="P17" i="2"/>
  <c r="P22" i="2" s="1"/>
  <c r="P43" i="2"/>
  <c r="P41" i="2" s="1"/>
  <c r="P46" i="2" s="1"/>
  <c r="P48" i="2" s="1"/>
  <c r="H164" i="1"/>
  <c r="I208" i="8"/>
  <c r="I293" i="8" s="1"/>
  <c r="I294" i="8" s="1"/>
  <c r="I295" i="8" s="1"/>
  <c r="I207" i="8"/>
  <c r="I210" i="8" s="1"/>
  <c r="I220" i="8" s="1"/>
  <c r="I222" i="8" s="1"/>
  <c r="I228" i="8" s="1"/>
  <c r="I229" i="8" s="1"/>
  <c r="AE17" i="2"/>
  <c r="AE22" i="2" s="1"/>
  <c r="AE43" i="2"/>
  <c r="AE41" i="2" s="1"/>
  <c r="AE46" i="2" s="1"/>
  <c r="AE48" i="2" s="1"/>
  <c r="V43" i="2"/>
  <c r="V41" i="2" s="1"/>
  <c r="V46" i="2" s="1"/>
  <c r="V48" i="2" s="1"/>
  <c r="V17" i="2"/>
  <c r="V22" i="2" s="1"/>
  <c r="AC207" i="8"/>
  <c r="AC210" i="8" s="1"/>
  <c r="AC220" i="8" s="1"/>
  <c r="AC222" i="8" s="1"/>
  <c r="AC228" i="8" s="1"/>
  <c r="AC229" i="8" s="1"/>
  <c r="AC208" i="8"/>
  <c r="AC293" i="8" s="1"/>
  <c r="AC294" i="8" s="1"/>
  <c r="AC295" i="8" s="1"/>
  <c r="U17" i="2"/>
  <c r="U22" i="2" s="1"/>
  <c r="U43" i="2"/>
  <c r="U41" i="2" s="1"/>
  <c r="U46" i="2" s="1"/>
  <c r="U48" i="2" s="1"/>
  <c r="M208" i="8"/>
  <c r="M293" i="8" s="1"/>
  <c r="M294" i="8" s="1"/>
  <c r="M295" i="8" s="1"/>
  <c r="M207" i="8"/>
  <c r="M210" i="8" s="1"/>
  <c r="M220" i="8" s="1"/>
  <c r="M222" i="8" s="1"/>
  <c r="M228" i="8" s="1"/>
  <c r="M229" i="8" s="1"/>
  <c r="H17" i="2"/>
  <c r="H22" i="2" s="1"/>
  <c r="H43" i="2"/>
  <c r="H41" i="2" s="1"/>
  <c r="H46" i="2" s="1"/>
  <c r="H48" i="2" s="1"/>
  <c r="B164" i="1"/>
  <c r="C207" i="8"/>
  <c r="C210" i="8" s="1"/>
  <c r="C220" i="8" s="1"/>
  <c r="C222" i="8" s="1"/>
  <c r="C228" i="8" s="1"/>
  <c r="C229" i="8" s="1"/>
  <c r="C208" i="8"/>
  <c r="C293" i="8" s="1"/>
  <c r="C294" i="8" s="1"/>
  <c r="C295" i="8" s="1"/>
  <c r="AH322" i="8"/>
  <c r="AH316" i="8" s="1"/>
  <c r="AH338" i="8" s="1"/>
  <c r="AH341" i="8" s="1"/>
  <c r="AH373" i="8"/>
  <c r="AH365" i="8" s="1"/>
  <c r="AH364" i="8" s="1"/>
  <c r="AF322" i="8"/>
  <c r="AF373" i="8"/>
  <c r="AF365" i="8" s="1"/>
  <c r="AF364" i="8" s="1"/>
  <c r="C322" i="8"/>
  <c r="C316" i="8" s="1"/>
  <c r="C338" i="8" s="1"/>
  <c r="C341" i="8" s="1"/>
  <c r="C373" i="8"/>
  <c r="C365" i="8" s="1"/>
  <c r="C364" i="8" s="1"/>
  <c r="C251" i="8" s="1"/>
  <c r="P322" i="8"/>
  <c r="P316" i="8" s="1"/>
  <c r="P338" i="8" s="1"/>
  <c r="P341" i="8" s="1"/>
  <c r="P373" i="8"/>
  <c r="P365" i="8" s="1"/>
  <c r="P364" i="8" s="1"/>
  <c r="AE322" i="8"/>
  <c r="AE316" i="8" s="1"/>
  <c r="AE338" i="8" s="1"/>
  <c r="AE341" i="8" s="1"/>
  <c r="AE373" i="8"/>
  <c r="AE365" i="8" s="1"/>
  <c r="AE364" i="8" s="1"/>
  <c r="AB322" i="8"/>
  <c r="AB316" i="8" s="1"/>
  <c r="AB338" i="8" s="1"/>
  <c r="AB341" i="8" s="1"/>
  <c r="AB373" i="8"/>
  <c r="AB365" i="8" s="1"/>
  <c r="AB364" i="8" s="1"/>
  <c r="Y322" i="8"/>
  <c r="Y316" i="8" s="1"/>
  <c r="Y338" i="8" s="1"/>
  <c r="Y341" i="8" s="1"/>
  <c r="Y373" i="8"/>
  <c r="Y365" i="8" s="1"/>
  <c r="Y364" i="8" s="1"/>
  <c r="W322" i="8"/>
  <c r="W316" i="8" s="1"/>
  <c r="W338" i="8" s="1"/>
  <c r="W341" i="8" s="1"/>
  <c r="W373" i="8"/>
  <c r="W365" i="8" s="1"/>
  <c r="W364" i="8" s="1"/>
  <c r="S322" i="8"/>
  <c r="S316" i="8" s="1"/>
  <c r="S338" i="8" s="1"/>
  <c r="S341" i="8" s="1"/>
  <c r="S373" i="8"/>
  <c r="S365" i="8" s="1"/>
  <c r="S364" i="8" s="1"/>
  <c r="M322" i="8"/>
  <c r="M316" i="8" s="1"/>
  <c r="M338" i="8" s="1"/>
  <c r="M341" i="8" s="1"/>
  <c r="M373" i="8"/>
  <c r="M365" i="8" s="1"/>
  <c r="M364" i="8" s="1"/>
  <c r="AG322" i="8"/>
  <c r="AG316" i="8" s="1"/>
  <c r="AG338" i="8" s="1"/>
  <c r="AG341" i="8" s="1"/>
  <c r="AG373" i="8"/>
  <c r="AG365" i="8" s="1"/>
  <c r="AG364" i="8" s="1"/>
  <c r="Q322" i="8"/>
  <c r="Q316" i="8" s="1"/>
  <c r="Q338" i="8" s="1"/>
  <c r="Q341" i="8" s="1"/>
  <c r="Q373" i="8"/>
  <c r="Q365" i="8" s="1"/>
  <c r="Q364" i="8" s="1"/>
  <c r="K322" i="8"/>
  <c r="K316" i="8" s="1"/>
  <c r="K338" i="8" s="1"/>
  <c r="K341" i="8" s="1"/>
  <c r="K373" i="8"/>
  <c r="K365" i="8" s="1"/>
  <c r="K364" i="8" s="1"/>
  <c r="G322" i="8"/>
  <c r="G316" i="8" s="1"/>
  <c r="G338" i="8" s="1"/>
  <c r="G341" i="8" s="1"/>
  <c r="G373" i="8"/>
  <c r="G365" i="8" s="1"/>
  <c r="G364" i="8" s="1"/>
  <c r="D373" i="8"/>
  <c r="D365" i="8" s="1"/>
  <c r="D364" i="8" s="1"/>
  <c r="D322" i="8"/>
  <c r="D316" i="8" s="1"/>
  <c r="D338" i="8" s="1"/>
  <c r="D341" i="8" s="1"/>
  <c r="T322" i="8"/>
  <c r="T316" i="8" s="1"/>
  <c r="T338" i="8" s="1"/>
  <c r="T341" i="8" s="1"/>
  <c r="T373" i="8"/>
  <c r="T365" i="8" s="1"/>
  <c r="T364" i="8" s="1"/>
  <c r="L322" i="8"/>
  <c r="L316" i="8" s="1"/>
  <c r="L338" i="8" s="1"/>
  <c r="L341" i="8" s="1"/>
  <c r="L373" i="8"/>
  <c r="L365" i="8" s="1"/>
  <c r="L364" i="8" s="1"/>
  <c r="F322" i="8"/>
  <c r="F373" i="8"/>
  <c r="F365" i="8" s="1"/>
  <c r="F364" i="8" s="1"/>
  <c r="B322" i="8"/>
  <c r="B316" i="8" s="1"/>
  <c r="B338" i="8" s="1"/>
  <c r="B341" i="8" s="1"/>
  <c r="B373" i="8"/>
  <c r="B365" i="8" s="1"/>
  <c r="B364" i="8" s="1"/>
  <c r="B251" i="8" s="1"/>
  <c r="O208" i="8"/>
  <c r="O293" i="8" s="1"/>
  <c r="O294" i="8" s="1"/>
  <c r="O295" i="8" s="1"/>
  <c r="O207" i="8"/>
  <c r="O210" i="8" s="1"/>
  <c r="O220" i="8" s="1"/>
  <c r="O222" i="8" s="1"/>
  <c r="O228" i="8" s="1"/>
  <c r="O229" i="8" s="1"/>
  <c r="C164" i="1"/>
  <c r="D208" i="8"/>
  <c r="D293" i="8" s="1"/>
  <c r="D294" i="8" s="1"/>
  <c r="D295" i="8" s="1"/>
  <c r="D207" i="8"/>
  <c r="D210" i="8" s="1"/>
  <c r="D220" i="8" s="1"/>
  <c r="D222" i="8" s="1"/>
  <c r="D228" i="8" s="1"/>
  <c r="D229" i="8" s="1"/>
  <c r="AG208" i="8"/>
  <c r="AG293" i="8" s="1"/>
  <c r="AG294" i="8" s="1"/>
  <c r="AG295" i="8" s="1"/>
  <c r="AG207" i="8"/>
  <c r="AG210" i="8" s="1"/>
  <c r="AG220" i="8" s="1"/>
  <c r="AG222" i="8" s="1"/>
  <c r="AG228" i="8" s="1"/>
  <c r="AG229" i="8" s="1"/>
  <c r="AH208" i="8"/>
  <c r="AH293" i="8" s="1"/>
  <c r="AH294" i="8" s="1"/>
  <c r="AH295" i="8" s="1"/>
  <c r="AH207" i="8"/>
  <c r="AH210" i="8" s="1"/>
  <c r="AH220" i="8" s="1"/>
  <c r="AH222" i="8" s="1"/>
  <c r="AH228" i="8" s="1"/>
  <c r="AH229" i="8" s="1"/>
  <c r="Z207" i="8"/>
  <c r="Z210" i="8" s="1"/>
  <c r="Z220" i="8" s="1"/>
  <c r="Z222" i="8" s="1"/>
  <c r="Z228" i="8" s="1"/>
  <c r="Z229" i="8" s="1"/>
  <c r="Z208" i="8"/>
  <c r="Z293" i="8" s="1"/>
  <c r="Z294" i="8" s="1"/>
  <c r="Z295" i="8" s="1"/>
  <c r="R207" i="8"/>
  <c r="R210" i="8" s="1"/>
  <c r="R220" i="8" s="1"/>
  <c r="R222" i="8" s="1"/>
  <c r="R228" i="8" s="1"/>
  <c r="R229" i="8" s="1"/>
  <c r="R208" i="8"/>
  <c r="R293" i="8" s="1"/>
  <c r="R294" i="8" s="1"/>
  <c r="R295" i="8" s="1"/>
  <c r="J17" i="2"/>
  <c r="J22" i="2" s="1"/>
  <c r="J43" i="2"/>
  <c r="J41" i="2" s="1"/>
  <c r="J46" i="2" s="1"/>
  <c r="J48" i="2" s="1"/>
  <c r="D164" i="1"/>
  <c r="E207" i="8"/>
  <c r="E210" i="8" s="1"/>
  <c r="E220" i="8" s="1"/>
  <c r="E222" i="8" s="1"/>
  <c r="E228" i="8" s="1"/>
  <c r="E229" i="8" s="1"/>
  <c r="E208" i="8"/>
  <c r="E293" i="8" s="1"/>
  <c r="E294" i="8" s="1"/>
  <c r="E295" i="8" s="1"/>
  <c r="N17" i="2"/>
  <c r="N22" i="2" s="1"/>
  <c r="N43" i="2"/>
  <c r="N41" i="2" s="1"/>
  <c r="N46" i="2" s="1"/>
  <c r="N48" i="2" s="1"/>
  <c r="Y17" i="2"/>
  <c r="Y22" i="2" s="1"/>
  <c r="Y43" i="2"/>
  <c r="Y41" i="2" s="1"/>
  <c r="Y46" i="2" s="1"/>
  <c r="Y48" i="2" s="1"/>
  <c r="X207" i="8"/>
  <c r="X210" i="8" s="1"/>
  <c r="X220" i="8" s="1"/>
  <c r="X222" i="8" s="1"/>
  <c r="X228" i="8" s="1"/>
  <c r="X229" i="8" s="1"/>
  <c r="X208" i="8"/>
  <c r="X293" i="8" s="1"/>
  <c r="X294" i="8" s="1"/>
  <c r="X295" i="8" s="1"/>
  <c r="AF208" i="8"/>
  <c r="AF293" i="8" s="1"/>
  <c r="AF294" i="8" s="1"/>
  <c r="AF295" i="8" s="1"/>
  <c r="AF207" i="8"/>
  <c r="AF210" i="8" s="1"/>
  <c r="AF220" i="8" s="1"/>
  <c r="AF222" i="8" s="1"/>
  <c r="AF228" i="8" s="1"/>
  <c r="AF229" i="8" s="1"/>
  <c r="AB17" i="2"/>
  <c r="AB22" i="2" s="1"/>
  <c r="AB43" i="2"/>
  <c r="AB41" i="2" s="1"/>
  <c r="AB46" i="2" s="1"/>
  <c r="AB48" i="2" s="1"/>
  <c r="T208" i="8"/>
  <c r="T293" i="8" s="1"/>
  <c r="T294" i="8" s="1"/>
  <c r="T295" i="8" s="1"/>
  <c r="T207" i="8"/>
  <c r="T210" i="8" s="1"/>
  <c r="T220" i="8" s="1"/>
  <c r="T222" i="8" s="1"/>
  <c r="T228" i="8" s="1"/>
  <c r="T229" i="8" s="1"/>
  <c r="L17" i="2"/>
  <c r="L22" i="2" s="1"/>
  <c r="L43" i="2"/>
  <c r="L41" i="2" s="1"/>
  <c r="L46" i="2" s="1"/>
  <c r="L48" i="2" s="1"/>
  <c r="F164" i="1"/>
  <c r="G207" i="8"/>
  <c r="G210" i="8" s="1"/>
  <c r="G220" i="8" s="1"/>
  <c r="G222" i="8" s="1"/>
  <c r="G228" i="8" s="1"/>
  <c r="G229" i="8" s="1"/>
  <c r="G208" i="8"/>
  <c r="G293" i="8" s="1"/>
  <c r="G294" i="8" s="1"/>
  <c r="G295" i="8" s="1"/>
  <c r="B372" i="8"/>
  <c r="B17" i="2"/>
  <c r="B22" i="2" s="1"/>
  <c r="B43" i="2"/>
  <c r="B41" i="2" s="1"/>
  <c r="B46" i="2" s="1"/>
  <c r="B48" i="2" s="1"/>
  <c r="B49" i="2" s="1"/>
  <c r="W17" i="2"/>
  <c r="W22" i="2" s="1"/>
  <c r="W43" i="2"/>
  <c r="W41" i="2" s="1"/>
  <c r="W46" i="2" s="1"/>
  <c r="W48" i="2" s="1"/>
  <c r="AD208" i="8"/>
  <c r="AD293" i="8" s="1"/>
  <c r="AD294" i="8" s="1"/>
  <c r="AD295" i="8" s="1"/>
  <c r="AD207" i="8"/>
  <c r="AD210" i="8" s="1"/>
  <c r="AD220" i="8" s="1"/>
  <c r="AD222" i="8" s="1"/>
  <c r="AD228" i="8" s="1"/>
  <c r="AD229" i="8" s="1"/>
  <c r="Q17" i="2"/>
  <c r="Q22" i="2" s="1"/>
  <c r="Q43" i="2"/>
  <c r="Q41" i="2" s="1"/>
  <c r="Q46" i="2" s="1"/>
  <c r="Q48" i="2" s="1"/>
  <c r="AI208" i="8"/>
  <c r="AI293" i="8" s="1"/>
  <c r="AI294" i="8" s="1"/>
  <c r="AI295" i="8" s="1"/>
  <c r="AI207" i="8"/>
  <c r="AI210" i="8" s="1"/>
  <c r="AI220" i="8" s="1"/>
  <c r="AI222" i="8" s="1"/>
  <c r="AI228" i="8" s="1"/>
  <c r="AI229" i="8" s="1"/>
  <c r="AA208" i="8"/>
  <c r="AA293" i="8" s="1"/>
  <c r="AA294" i="8" s="1"/>
  <c r="AA295" i="8" s="1"/>
  <c r="AA207" i="8"/>
  <c r="AA210" i="8" s="1"/>
  <c r="AA220" i="8" s="1"/>
  <c r="AA222" i="8" s="1"/>
  <c r="AA228" i="8" s="1"/>
  <c r="AA229" i="8" s="1"/>
  <c r="S17" i="2"/>
  <c r="S22" i="2" s="1"/>
  <c r="S43" i="2"/>
  <c r="S41" i="2" s="1"/>
  <c r="S46" i="2" s="1"/>
  <c r="S48" i="2" s="1"/>
  <c r="K208" i="8"/>
  <c r="K293" i="8" s="1"/>
  <c r="K294" i="8" s="1"/>
  <c r="K295" i="8" s="1"/>
  <c r="K207" i="8"/>
  <c r="K210" i="8" s="1"/>
  <c r="K220" i="8" s="1"/>
  <c r="K222" i="8" s="1"/>
  <c r="K228" i="8" s="1"/>
  <c r="K229" i="8" s="1"/>
  <c r="F17" i="2"/>
  <c r="F22" i="2" s="1"/>
  <c r="F43" i="2"/>
  <c r="F41" i="2" s="1"/>
  <c r="F46" i="2" s="1"/>
  <c r="F48" i="2" s="1"/>
  <c r="P207" i="8"/>
  <c r="P210" i="8" s="1"/>
  <c r="P220" i="8" s="1"/>
  <c r="P222" i="8" s="1"/>
  <c r="P228" i="8" s="1"/>
  <c r="P229" i="8" s="1"/>
  <c r="P208" i="8"/>
  <c r="P293" i="8" s="1"/>
  <c r="P294" i="8" s="1"/>
  <c r="P295" i="8" s="1"/>
  <c r="I17" i="2"/>
  <c r="I22" i="2" s="1"/>
  <c r="I43" i="2"/>
  <c r="I41" i="2" s="1"/>
  <c r="I46" i="2" s="1"/>
  <c r="I48" i="2" s="1"/>
  <c r="AE207" i="8"/>
  <c r="AE210" i="8" s="1"/>
  <c r="AE220" i="8" s="1"/>
  <c r="AE222" i="8" s="1"/>
  <c r="AE228" i="8" s="1"/>
  <c r="AE229" i="8" s="1"/>
  <c r="AE208" i="8"/>
  <c r="AE293" i="8" s="1"/>
  <c r="AE294" i="8" s="1"/>
  <c r="AE295" i="8" s="1"/>
  <c r="V208" i="8"/>
  <c r="V293" i="8" s="1"/>
  <c r="V294" i="8" s="1"/>
  <c r="V295" i="8" s="1"/>
  <c r="V207" i="8"/>
  <c r="V210" i="8" s="1"/>
  <c r="V220" i="8" s="1"/>
  <c r="V222" i="8" s="1"/>
  <c r="V228" i="8" s="1"/>
  <c r="V229" i="8" s="1"/>
  <c r="AC17" i="2"/>
  <c r="AC22" i="2" s="1"/>
  <c r="AC43" i="2"/>
  <c r="AC41" i="2" s="1"/>
  <c r="AC46" i="2" s="1"/>
  <c r="AC48" i="2" s="1"/>
  <c r="U208" i="8"/>
  <c r="U293" i="8" s="1"/>
  <c r="U294" i="8" s="1"/>
  <c r="U295" i="8" s="1"/>
  <c r="U207" i="8"/>
  <c r="U210" i="8" s="1"/>
  <c r="U220" i="8" s="1"/>
  <c r="U222" i="8" s="1"/>
  <c r="U228" i="8" s="1"/>
  <c r="U229" i="8" s="1"/>
  <c r="M17" i="2"/>
  <c r="M22" i="2" s="1"/>
  <c r="M43" i="2"/>
  <c r="M41" i="2" s="1"/>
  <c r="M46" i="2" s="1"/>
  <c r="M48" i="2" s="1"/>
  <c r="G164" i="1"/>
  <c r="H208" i="8"/>
  <c r="H293" i="8" s="1"/>
  <c r="H294" i="8" s="1"/>
  <c r="H295" i="8" s="1"/>
  <c r="C17" i="2"/>
  <c r="C22" i="2" s="1"/>
  <c r="C43" i="2"/>
  <c r="C41" i="2" s="1"/>
  <c r="C46" i="2" s="1"/>
  <c r="C48" i="2" s="1"/>
  <c r="AI322" i="8"/>
  <c r="AI316" i="8" s="1"/>
  <c r="AI338" i="8" s="1"/>
  <c r="AI341" i="8" s="1"/>
  <c r="AI373" i="8"/>
  <c r="AI365" i="8" s="1"/>
  <c r="AI364" i="8" s="1"/>
  <c r="I322" i="8"/>
  <c r="I316" i="8" s="1"/>
  <c r="I338" i="8" s="1"/>
  <c r="I341" i="8" s="1"/>
  <c r="I373" i="8"/>
  <c r="I365" i="8" s="1"/>
  <c r="I364" i="8" s="1"/>
  <c r="F316" i="8"/>
  <c r="F338" i="8" s="1"/>
  <c r="F341" i="8" s="1"/>
  <c r="AD322" i="8"/>
  <c r="AD316" i="8" s="1"/>
  <c r="AD338" i="8" s="1"/>
  <c r="AD341" i="8" s="1"/>
  <c r="AD373" i="8"/>
  <c r="AD365" i="8" s="1"/>
  <c r="AD364" i="8" s="1"/>
  <c r="J322" i="8"/>
  <c r="J316" i="8" s="1"/>
  <c r="J338" i="8" s="1"/>
  <c r="J341" i="8" s="1"/>
  <c r="J373" i="8"/>
  <c r="J365" i="8" s="1"/>
  <c r="J364" i="8" s="1"/>
  <c r="AC322" i="8"/>
  <c r="AC316" i="8" s="1"/>
  <c r="AC338" i="8" s="1"/>
  <c r="AC341" i="8" s="1"/>
  <c r="AC373" i="8"/>
  <c r="AC365" i="8" s="1"/>
  <c r="AC364" i="8" s="1"/>
  <c r="Z322" i="8"/>
  <c r="Z316" i="8" s="1"/>
  <c r="Z338" i="8" s="1"/>
  <c r="Z341" i="8" s="1"/>
  <c r="Z373" i="8"/>
  <c r="Z365" i="8" s="1"/>
  <c r="Z364" i="8" s="1"/>
  <c r="V322" i="8"/>
  <c r="V316" i="8" s="1"/>
  <c r="V338" i="8" s="1"/>
  <c r="V341" i="8" s="1"/>
  <c r="V373" i="8"/>
  <c r="V365" i="8" s="1"/>
  <c r="V364" i="8" s="1"/>
  <c r="N322" i="8"/>
  <c r="N316" i="8" s="1"/>
  <c r="N338" i="8" s="1"/>
  <c r="N341" i="8" s="1"/>
  <c r="N373" i="8"/>
  <c r="N365" i="8" s="1"/>
  <c r="N364" i="8" s="1"/>
  <c r="AF316" i="8"/>
  <c r="AF338" i="8" s="1"/>
  <c r="AF341" i="8" s="1"/>
  <c r="AA322" i="8"/>
  <c r="AA316" i="8" s="1"/>
  <c r="AA338" i="8" s="1"/>
  <c r="AA341" i="8" s="1"/>
  <c r="AA373" i="8"/>
  <c r="AA365" i="8" s="1"/>
  <c r="AA364" i="8" s="1"/>
  <c r="U322" i="8"/>
  <c r="U316" i="8" s="1"/>
  <c r="U338" i="8" s="1"/>
  <c r="U341" i="8" s="1"/>
  <c r="U373" i="8"/>
  <c r="U365" i="8" s="1"/>
  <c r="U364" i="8" s="1"/>
  <c r="O322" i="8"/>
  <c r="O316" i="8" s="1"/>
  <c r="O338" i="8" s="1"/>
  <c r="O341" i="8" s="1"/>
  <c r="O373" i="8"/>
  <c r="O365" i="8" s="1"/>
  <c r="O364" i="8" s="1"/>
  <c r="X322" i="8"/>
  <c r="X316" i="8" s="1"/>
  <c r="X338" i="8" s="1"/>
  <c r="X341" i="8" s="1"/>
  <c r="X373" i="8"/>
  <c r="X365" i="8" s="1"/>
  <c r="X364" i="8" s="1"/>
  <c r="R322" i="8"/>
  <c r="R316" i="8" s="1"/>
  <c r="R338" i="8" s="1"/>
  <c r="R341" i="8" s="1"/>
  <c r="R373" i="8"/>
  <c r="R365" i="8" s="1"/>
  <c r="R364" i="8" s="1"/>
  <c r="H322" i="8"/>
  <c r="H316" i="8" s="1"/>
  <c r="H338" i="8" s="1"/>
  <c r="H341" i="8" s="1"/>
  <c r="H373" i="8"/>
  <c r="H365" i="8" s="1"/>
  <c r="H364" i="8" s="1"/>
  <c r="E322" i="8"/>
  <c r="E316" i="8" s="1"/>
  <c r="E338" i="8" s="1"/>
  <c r="E341" i="8" s="1"/>
  <c r="E373" i="8"/>
  <c r="E365" i="8" s="1"/>
  <c r="E364" i="8" s="1"/>
  <c r="O17" i="2"/>
  <c r="O22" i="2" s="1"/>
  <c r="O43" i="2"/>
  <c r="O41" i="2" s="1"/>
  <c r="O46" i="2" s="1"/>
  <c r="O48" i="2" s="1"/>
  <c r="D17" i="2"/>
  <c r="D22" i="2" s="1"/>
  <c r="D43" i="2"/>
  <c r="D41" i="2" s="1"/>
  <c r="D46" i="2" s="1"/>
  <c r="D48" i="2" s="1"/>
  <c r="AG17" i="2"/>
  <c r="AG22" i="2" s="1"/>
  <c r="AG43" i="2"/>
  <c r="AG41" i="2" s="1"/>
  <c r="AG46" i="2" s="1"/>
  <c r="AG48" i="2" s="1"/>
  <c r="AH17" i="2"/>
  <c r="AH22" i="2" s="1"/>
  <c r="AH43" i="2"/>
  <c r="AH41" i="2" s="1"/>
  <c r="AH46" i="2" s="1"/>
  <c r="AH48" i="2" s="1"/>
  <c r="Z17" i="2"/>
  <c r="Z22" i="2" s="1"/>
  <c r="Z43" i="2"/>
  <c r="Z41" i="2" s="1"/>
  <c r="Z46" i="2" s="1"/>
  <c r="Z48" i="2" s="1"/>
  <c r="R17" i="2"/>
  <c r="R22" i="2" s="1"/>
  <c r="R43" i="2"/>
  <c r="R41" i="2" s="1"/>
  <c r="R46" i="2" s="1"/>
  <c r="R48" i="2" s="1"/>
  <c r="J208" i="8"/>
  <c r="J293" i="8" s="1"/>
  <c r="J294" i="8" s="1"/>
  <c r="J295" i="8" s="1"/>
  <c r="J207" i="8"/>
  <c r="J210" i="8" s="1"/>
  <c r="J220" i="8" s="1"/>
  <c r="J222" i="8" s="1"/>
  <c r="J228" i="8" s="1"/>
  <c r="J229" i="8" s="1"/>
  <c r="E17" i="2"/>
  <c r="E22" i="2" s="1"/>
  <c r="E43" i="2"/>
  <c r="E41" i="2" s="1"/>
  <c r="E46" i="2" s="1"/>
  <c r="E48" i="2" s="1"/>
  <c r="C49" i="2" l="1"/>
  <c r="O279" i="8"/>
  <c r="O281" i="8"/>
  <c r="O8" i="2"/>
  <c r="O12" i="2" s="1"/>
  <c r="O24" i="2" s="1"/>
  <c r="O360" i="8"/>
  <c r="N281" i="8"/>
  <c r="N279" i="8"/>
  <c r="N360" i="8"/>
  <c r="N8" i="2"/>
  <c r="N12" i="2" s="1"/>
  <c r="N24" i="2" s="1"/>
  <c r="V281" i="8"/>
  <c r="V279" i="8"/>
  <c r="V8" i="2"/>
  <c r="V12" i="2" s="1"/>
  <c r="V24" i="2" s="1"/>
  <c r="V360" i="8"/>
  <c r="AC281" i="8"/>
  <c r="AC279" i="8"/>
  <c r="AC8" i="2"/>
  <c r="AC12" i="2" s="1"/>
  <c r="AC24" i="2" s="1"/>
  <c r="AC360" i="8"/>
  <c r="I281" i="8"/>
  <c r="I279" i="8"/>
  <c r="I8" i="2"/>
  <c r="I12" i="2" s="1"/>
  <c r="I24" i="2" s="1"/>
  <c r="I360" i="8"/>
  <c r="D279" i="8"/>
  <c r="D281" i="8"/>
  <c r="D360" i="8"/>
  <c r="D8" i="2"/>
  <c r="D12" i="2" s="1"/>
  <c r="D24" i="2" s="1"/>
  <c r="H279" i="8"/>
  <c r="H281" i="8"/>
  <c r="H360" i="8"/>
  <c r="H8" i="2"/>
  <c r="H12" i="2" s="1"/>
  <c r="H24" i="2" s="1"/>
  <c r="X279" i="8"/>
  <c r="X281" i="8"/>
  <c r="X360" i="8"/>
  <c r="X8" i="2"/>
  <c r="X12" i="2" s="1"/>
  <c r="X24" i="2" s="1"/>
  <c r="U279" i="8"/>
  <c r="U281" i="8"/>
  <c r="U360" i="8"/>
  <c r="U8" i="2"/>
  <c r="U12" i="2" s="1"/>
  <c r="U24" i="2" s="1"/>
  <c r="K279" i="8"/>
  <c r="K281" i="8"/>
  <c r="K8" i="2"/>
  <c r="K12" i="2" s="1"/>
  <c r="K24" i="2" s="1"/>
  <c r="K360" i="8"/>
  <c r="AB279" i="8"/>
  <c r="AB281" i="8"/>
  <c r="AB360" i="8"/>
  <c r="AB8" i="2"/>
  <c r="AB12" i="2" s="1"/>
  <c r="AB24" i="2" s="1"/>
  <c r="AH279" i="8"/>
  <c r="AH281" i="8"/>
  <c r="AH8" i="2"/>
  <c r="AH12" i="2" s="1"/>
  <c r="AH24" i="2" s="1"/>
  <c r="AH360" i="8"/>
  <c r="AA279" i="8"/>
  <c r="AA281" i="8"/>
  <c r="AA360" i="8"/>
  <c r="AA8" i="2"/>
  <c r="AA12" i="2" s="1"/>
  <c r="AA24" i="2" s="1"/>
  <c r="Z281" i="8"/>
  <c r="Z279" i="8"/>
  <c r="Z360" i="8"/>
  <c r="Z8" i="2"/>
  <c r="Z12" i="2" s="1"/>
  <c r="Z24" i="2" s="1"/>
  <c r="AD279" i="8"/>
  <c r="AD281" i="8"/>
  <c r="AD8" i="2"/>
  <c r="AD12" i="2" s="1"/>
  <c r="AD24" i="2" s="1"/>
  <c r="AD360" i="8"/>
  <c r="M279" i="8"/>
  <c r="M281" i="8"/>
  <c r="M360" i="8"/>
  <c r="M8" i="2"/>
  <c r="M12" i="2" s="1"/>
  <c r="M24" i="2" s="1"/>
  <c r="AF279" i="8"/>
  <c r="AF281" i="8"/>
  <c r="AF8" i="2"/>
  <c r="AF12" i="2" s="1"/>
  <c r="AF24" i="2" s="1"/>
  <c r="AF360" i="8"/>
  <c r="T281" i="8"/>
  <c r="T279" i="8"/>
  <c r="T360" i="8"/>
  <c r="T8" i="2"/>
  <c r="T12" i="2" s="1"/>
  <c r="T24" i="2" s="1"/>
  <c r="E281" i="8"/>
  <c r="E279" i="8"/>
  <c r="E8" i="2"/>
  <c r="E12" i="2" s="1"/>
  <c r="E24" i="2" s="1"/>
  <c r="E360" i="8"/>
  <c r="J279" i="8"/>
  <c r="J281" i="8"/>
  <c r="J360" i="8"/>
  <c r="J8" i="2"/>
  <c r="J12" i="2" s="1"/>
  <c r="J24" i="2" s="1"/>
  <c r="S281" i="8"/>
  <c r="S279" i="8"/>
  <c r="S360" i="8"/>
  <c r="S8" i="2"/>
  <c r="S12" i="2" s="1"/>
  <c r="S24" i="2" s="1"/>
  <c r="Y281" i="8"/>
  <c r="Y279" i="8"/>
  <c r="Y8" i="2"/>
  <c r="Y12" i="2" s="1"/>
  <c r="Y24" i="2" s="1"/>
  <c r="Y360" i="8"/>
  <c r="L279" i="8"/>
  <c r="L281" i="8"/>
  <c r="L360" i="8"/>
  <c r="L8" i="2"/>
  <c r="L12" i="2" s="1"/>
  <c r="L24" i="2" s="1"/>
  <c r="R279" i="8"/>
  <c r="R281" i="8"/>
  <c r="R360" i="8"/>
  <c r="R8" i="2"/>
  <c r="R12" i="2" s="1"/>
  <c r="R24" i="2" s="1"/>
  <c r="F281" i="8"/>
  <c r="F360" i="8"/>
  <c r="F279" i="8"/>
  <c r="F8" i="2"/>
  <c r="F12" i="2" s="1"/>
  <c r="F24" i="2" s="1"/>
  <c r="B363" i="8"/>
  <c r="W281" i="8"/>
  <c r="W279" i="8"/>
  <c r="W8" i="2"/>
  <c r="W12" i="2" s="1"/>
  <c r="W24" i="2" s="1"/>
  <c r="W360" i="8"/>
  <c r="Q279" i="8"/>
  <c r="Q281" i="8"/>
  <c r="Q360" i="8"/>
  <c r="Q8" i="2"/>
  <c r="Q12" i="2" s="1"/>
  <c r="Q24" i="2" s="1"/>
  <c r="C281" i="8"/>
  <c r="C372" i="8" s="1"/>
  <c r="C279" i="8"/>
  <c r="C360" i="8"/>
  <c r="C8" i="2"/>
  <c r="C12" i="2" s="1"/>
  <c r="C24" i="2" s="1"/>
  <c r="AG281" i="8"/>
  <c r="AG279" i="8"/>
  <c r="AG360" i="8"/>
  <c r="AG8" i="2"/>
  <c r="AG12" i="2" s="1"/>
  <c r="AG24" i="2" s="1"/>
  <c r="B229" i="8"/>
  <c r="B230" i="8"/>
  <c r="C230" i="8" s="1"/>
  <c r="D230" i="8" s="1"/>
  <c r="E230" i="8" s="1"/>
  <c r="F230" i="8" s="1"/>
  <c r="G230" i="8" s="1"/>
  <c r="H230" i="8" s="1"/>
  <c r="I230" i="8" s="1"/>
  <c r="J230" i="8" s="1"/>
  <c r="K230" i="8" s="1"/>
  <c r="L230" i="8" s="1"/>
  <c r="M230" i="8" s="1"/>
  <c r="N230" i="8" s="1"/>
  <c r="O230" i="8" s="1"/>
  <c r="P230" i="8" s="1"/>
  <c r="Q230" i="8" s="1"/>
  <c r="R230" i="8" s="1"/>
  <c r="S230" i="8" s="1"/>
  <c r="T230" i="8" s="1"/>
  <c r="U230" i="8" s="1"/>
  <c r="V230" i="8" s="1"/>
  <c r="W230" i="8" s="1"/>
  <c r="X230" i="8" s="1"/>
  <c r="Y230" i="8" s="1"/>
  <c r="Z230" i="8" s="1"/>
  <c r="AA230" i="8" s="1"/>
  <c r="AB230" i="8" s="1"/>
  <c r="AC230" i="8" s="1"/>
  <c r="AD230" i="8" s="1"/>
  <c r="AE230" i="8" s="1"/>
  <c r="AF230" i="8" s="1"/>
  <c r="AG230" i="8" s="1"/>
  <c r="AH230" i="8" s="1"/>
  <c r="AI230" i="8" s="1"/>
  <c r="D49" i="2"/>
  <c r="E49" i="2" s="1"/>
  <c r="F49" i="2" s="1"/>
  <c r="G49" i="2" s="1"/>
  <c r="H49" i="2" s="1"/>
  <c r="I49" i="2" s="1"/>
  <c r="J49" i="2" s="1"/>
  <c r="K49" i="2" s="1"/>
  <c r="L49" i="2" s="1"/>
  <c r="M49" i="2" s="1"/>
  <c r="N49" i="2" s="1"/>
  <c r="O49" i="2" s="1"/>
  <c r="P49" i="2" s="1"/>
  <c r="Q49" i="2" s="1"/>
  <c r="R49" i="2" s="1"/>
  <c r="S49" i="2" s="1"/>
  <c r="T49" i="2" s="1"/>
  <c r="U49" i="2" s="1"/>
  <c r="V49" i="2" s="1"/>
  <c r="W49" i="2" s="1"/>
  <c r="X49" i="2" s="1"/>
  <c r="Y49" i="2" s="1"/>
  <c r="Z49" i="2" s="1"/>
  <c r="AA49" i="2" s="1"/>
  <c r="AB49" i="2" s="1"/>
  <c r="AC49" i="2" s="1"/>
  <c r="AD49" i="2" s="1"/>
  <c r="AE49" i="2" s="1"/>
  <c r="AF49" i="2" s="1"/>
  <c r="AG49" i="2" s="1"/>
  <c r="AH49" i="2" s="1"/>
  <c r="AI49" i="2" s="1"/>
  <c r="G281" i="8"/>
  <c r="G279" i="8"/>
  <c r="G8" i="2"/>
  <c r="G12" i="2" s="1"/>
  <c r="G24" i="2" s="1"/>
  <c r="G360" i="8"/>
  <c r="P279" i="8"/>
  <c r="P281" i="8"/>
  <c r="P8" i="2"/>
  <c r="P12" i="2" s="1"/>
  <c r="P24" i="2" s="1"/>
  <c r="P360" i="8"/>
  <c r="B281" i="8"/>
  <c r="B279" i="8"/>
  <c r="B360" i="8"/>
  <c r="B8" i="2"/>
  <c r="B12" i="2" s="1"/>
  <c r="B24" i="2" s="1"/>
  <c r="B25" i="2" s="1"/>
  <c r="AI279" i="8"/>
  <c r="AI281" i="8"/>
  <c r="AI8" i="2"/>
  <c r="AI12" i="2" s="1"/>
  <c r="AI24" i="2" s="1"/>
  <c r="AI360" i="8"/>
  <c r="AE279" i="8"/>
  <c r="AE281" i="8"/>
  <c r="AE8" i="2"/>
  <c r="AE12" i="2" s="1"/>
  <c r="AE24" i="2" s="1"/>
  <c r="AE360" i="8"/>
  <c r="M296" i="8"/>
  <c r="D25" i="13" s="1"/>
  <c r="M297" i="8"/>
  <c r="D26" i="13" s="1"/>
  <c r="C361" i="8" l="1"/>
  <c r="D361" i="8" s="1"/>
  <c r="E361" i="8" s="1"/>
  <c r="F361" i="8" s="1"/>
  <c r="G361" i="8" s="1"/>
  <c r="H361" i="8" s="1"/>
  <c r="I361" i="8" s="1"/>
  <c r="J361" i="8" s="1"/>
  <c r="K361" i="8" s="1"/>
  <c r="L361" i="8" s="1"/>
  <c r="M361" i="8" s="1"/>
  <c r="N361" i="8" s="1"/>
  <c r="O361" i="8" s="1"/>
  <c r="P361" i="8" s="1"/>
  <c r="Q361" i="8" s="1"/>
  <c r="R361" i="8" s="1"/>
  <c r="S361" i="8" s="1"/>
  <c r="T361" i="8" s="1"/>
  <c r="U361" i="8" s="1"/>
  <c r="V361" i="8" s="1"/>
  <c r="W361" i="8" s="1"/>
  <c r="X361" i="8" s="1"/>
  <c r="Y361" i="8" s="1"/>
  <c r="Z361" i="8" s="1"/>
  <c r="AA361" i="8" s="1"/>
  <c r="AB361" i="8" s="1"/>
  <c r="AC361" i="8" s="1"/>
  <c r="AD361" i="8" s="1"/>
  <c r="AE361" i="8" s="1"/>
  <c r="AF361" i="8" s="1"/>
  <c r="AG361" i="8" s="1"/>
  <c r="AH361" i="8" s="1"/>
  <c r="AI361" i="8" s="1"/>
  <c r="AI359" i="8" s="1"/>
  <c r="AI357" i="8" s="1"/>
  <c r="B359" i="8"/>
  <c r="B357" i="8" s="1"/>
  <c r="B353" i="8"/>
  <c r="B352" i="8" s="1"/>
  <c r="C25" i="2"/>
  <c r="D25" i="2" s="1"/>
  <c r="C363" i="8"/>
  <c r="C362" i="8" s="1"/>
  <c r="D372" i="8"/>
  <c r="D359" i="8" l="1"/>
  <c r="D357" i="8" s="1"/>
  <c r="D275" i="8" s="1"/>
  <c r="J359" i="8"/>
  <c r="J357" i="8" s="1"/>
  <c r="J271" i="8" s="1"/>
  <c r="Y359" i="8"/>
  <c r="Y357" i="8" s="1"/>
  <c r="Y275" i="8" s="1"/>
  <c r="Z359" i="8"/>
  <c r="Z357" i="8" s="1"/>
  <c r="Z271" i="8" s="1"/>
  <c r="AG359" i="8"/>
  <c r="AG357" i="8" s="1"/>
  <c r="AG275" i="8" s="1"/>
  <c r="AH359" i="8"/>
  <c r="AH357" i="8" s="1"/>
  <c r="AH275" i="8" s="1"/>
  <c r="N359" i="8"/>
  <c r="N357" i="8" s="1"/>
  <c r="N275" i="8" s="1"/>
  <c r="X359" i="8"/>
  <c r="X357" i="8" s="1"/>
  <c r="X275" i="8" s="1"/>
  <c r="M359" i="8"/>
  <c r="M357" i="8" s="1"/>
  <c r="M271" i="8" s="1"/>
  <c r="R359" i="8"/>
  <c r="R357" i="8" s="1"/>
  <c r="R271" i="8" s="1"/>
  <c r="P359" i="8"/>
  <c r="P357" i="8" s="1"/>
  <c r="P271" i="8" s="1"/>
  <c r="AC359" i="8"/>
  <c r="AC357" i="8" s="1"/>
  <c r="AC275" i="8" s="1"/>
  <c r="K359" i="8"/>
  <c r="K357" i="8" s="1"/>
  <c r="K271" i="8" s="1"/>
  <c r="T359" i="8"/>
  <c r="T357" i="8" s="1"/>
  <c r="T275" i="8" s="1"/>
  <c r="Q359" i="8"/>
  <c r="Q357" i="8" s="1"/>
  <c r="Q271" i="8" s="1"/>
  <c r="AI271" i="8"/>
  <c r="AI275" i="8"/>
  <c r="C165" i="1"/>
  <c r="D353" i="8"/>
  <c r="D352" i="8" s="1"/>
  <c r="AE359" i="8"/>
  <c r="AE357" i="8" s="1"/>
  <c r="H359" i="8"/>
  <c r="H357" i="8" s="1"/>
  <c r="U359" i="8"/>
  <c r="U357" i="8" s="1"/>
  <c r="AB359" i="8"/>
  <c r="AB357" i="8" s="1"/>
  <c r="AA359" i="8"/>
  <c r="AA357" i="8" s="1"/>
  <c r="AF359" i="8"/>
  <c r="AF357" i="8" s="1"/>
  <c r="E25" i="2"/>
  <c r="S359" i="8"/>
  <c r="S357" i="8" s="1"/>
  <c r="L359" i="8"/>
  <c r="L357" i="8" s="1"/>
  <c r="D363" i="8"/>
  <c r="D362" i="8" s="1"/>
  <c r="E372" i="8"/>
  <c r="B165" i="1"/>
  <c r="C353" i="8"/>
  <c r="C352" i="8" s="1"/>
  <c r="B261" i="8"/>
  <c r="B253" i="8"/>
  <c r="B355" i="8"/>
  <c r="O359" i="8"/>
  <c r="O357" i="8" s="1"/>
  <c r="V359" i="8"/>
  <c r="V357" i="8" s="1"/>
  <c r="I359" i="8"/>
  <c r="I357" i="8" s="1"/>
  <c r="AD359" i="8"/>
  <c r="AD357" i="8" s="1"/>
  <c r="E359" i="8"/>
  <c r="E357" i="8" s="1"/>
  <c r="F359" i="8"/>
  <c r="F357" i="8" s="1"/>
  <c r="W359" i="8"/>
  <c r="W357" i="8" s="1"/>
  <c r="C359" i="8"/>
  <c r="C357" i="8" s="1"/>
  <c r="G359" i="8"/>
  <c r="G357" i="8" s="1"/>
  <c r="B275" i="8"/>
  <c r="B271" i="8"/>
  <c r="AG271" i="8" l="1"/>
  <c r="N271" i="8"/>
  <c r="P275" i="8"/>
  <c r="J275" i="8"/>
  <c r="AH271" i="8"/>
  <c r="R275" i="8"/>
  <c r="Y271" i="8"/>
  <c r="Z275" i="8"/>
  <c r="AC271" i="8"/>
  <c r="Q275" i="8"/>
  <c r="D271" i="8"/>
  <c r="D366" i="8"/>
  <c r="X271" i="8"/>
  <c r="K275" i="8"/>
  <c r="D269" i="8"/>
  <c r="M275" i="8"/>
  <c r="T271" i="8"/>
  <c r="W275" i="8"/>
  <c r="W271" i="8"/>
  <c r="E271" i="8"/>
  <c r="E275" i="8"/>
  <c r="I275" i="8"/>
  <c r="I271" i="8"/>
  <c r="C253" i="8"/>
  <c r="C355" i="8"/>
  <c r="C261" i="8"/>
  <c r="L271" i="8"/>
  <c r="L275" i="8"/>
  <c r="E353" i="8"/>
  <c r="E352" i="8" s="1"/>
  <c r="D165" i="1"/>
  <c r="F25" i="2"/>
  <c r="AA271" i="8"/>
  <c r="AA275" i="8"/>
  <c r="U271" i="8"/>
  <c r="U275" i="8"/>
  <c r="C275" i="8"/>
  <c r="C271" i="8"/>
  <c r="C269" i="8"/>
  <c r="C366" i="8"/>
  <c r="F271" i="8"/>
  <c r="F275" i="8"/>
  <c r="AD275" i="8"/>
  <c r="AD271" i="8"/>
  <c r="V275" i="8"/>
  <c r="V271" i="8"/>
  <c r="B263" i="8"/>
  <c r="B267" i="8"/>
  <c r="B362" i="8"/>
  <c r="B277" i="8"/>
  <c r="S275" i="8"/>
  <c r="S271" i="8"/>
  <c r="AF275" i="8"/>
  <c r="AF271" i="8"/>
  <c r="AB275" i="8"/>
  <c r="AB271" i="8"/>
  <c r="H275" i="8"/>
  <c r="H271" i="8"/>
  <c r="D253" i="8"/>
  <c r="D261" i="8"/>
  <c r="D355" i="8"/>
  <c r="D251" i="8"/>
  <c r="G275" i="8"/>
  <c r="G271" i="8"/>
  <c r="O271" i="8"/>
  <c r="O275" i="8"/>
  <c r="E363" i="8"/>
  <c r="E362" i="8" s="1"/>
  <c r="E269" i="8" s="1"/>
  <c r="F372" i="8"/>
  <c r="AE271" i="8"/>
  <c r="AE275" i="8"/>
  <c r="D267" i="8" l="1"/>
  <c r="D263" i="8"/>
  <c r="D277" i="8"/>
  <c r="E261" i="8"/>
  <c r="E253" i="8"/>
  <c r="E355" i="8"/>
  <c r="E251" i="8"/>
  <c r="C263" i="8"/>
  <c r="C277" i="8"/>
  <c r="C267" i="8"/>
  <c r="E366" i="8"/>
  <c r="F363" i="8"/>
  <c r="F362" i="8" s="1"/>
  <c r="G372" i="8"/>
  <c r="C367" i="8"/>
  <c r="B366" i="8"/>
  <c r="B367" i="8" s="1"/>
  <c r="B178" i="1" s="1"/>
  <c r="B269" i="8"/>
  <c r="E165" i="1"/>
  <c r="F353" i="8"/>
  <c r="F352" i="8" s="1"/>
  <c r="G25" i="2"/>
  <c r="D367" i="8"/>
  <c r="F261" i="8" l="1"/>
  <c r="F355" i="8"/>
  <c r="F253" i="8"/>
  <c r="F251" i="8"/>
  <c r="F269" i="8"/>
  <c r="F366" i="8"/>
  <c r="F367" i="8" s="1"/>
  <c r="E277" i="8"/>
  <c r="E263" i="8"/>
  <c r="E267" i="8"/>
  <c r="F165" i="1"/>
  <c r="G353" i="8"/>
  <c r="G352" i="8" s="1"/>
  <c r="H25" i="2"/>
  <c r="H372" i="8"/>
  <c r="G363" i="8"/>
  <c r="G362" i="8" s="1"/>
  <c r="E367" i="8"/>
  <c r="H363" i="8" l="1"/>
  <c r="H362" i="8" s="1"/>
  <c r="I372" i="8"/>
  <c r="G261" i="8"/>
  <c r="G253" i="8"/>
  <c r="G355" i="8"/>
  <c r="G251" i="8"/>
  <c r="G269" i="8"/>
  <c r="G366" i="8"/>
  <c r="H353" i="8"/>
  <c r="H352" i="8" s="1"/>
  <c r="G165" i="1"/>
  <c r="I25" i="2"/>
  <c r="F263" i="8"/>
  <c r="F277" i="8"/>
  <c r="F267" i="8"/>
  <c r="H165" i="1" l="1"/>
  <c r="I353" i="8"/>
  <c r="I352" i="8" s="1"/>
  <c r="J25" i="2"/>
  <c r="G367" i="8"/>
  <c r="I363" i="8"/>
  <c r="I362" i="8" s="1"/>
  <c r="J372" i="8"/>
  <c r="H261" i="8"/>
  <c r="H253" i="8"/>
  <c r="H355" i="8"/>
  <c r="H251" i="8"/>
  <c r="G277" i="8"/>
  <c r="G263" i="8"/>
  <c r="G267" i="8"/>
  <c r="H366" i="8"/>
  <c r="H269" i="8"/>
  <c r="H367" i="8" l="1"/>
  <c r="J363" i="8"/>
  <c r="J362" i="8" s="1"/>
  <c r="K372" i="8"/>
  <c r="J353" i="8"/>
  <c r="J352" i="8" s="1"/>
  <c r="K25" i="2"/>
  <c r="H267" i="8"/>
  <c r="H277" i="8"/>
  <c r="H263" i="8"/>
  <c r="I366" i="8"/>
  <c r="I269" i="8"/>
  <c r="I253" i="8"/>
  <c r="I355" i="8"/>
  <c r="I261" i="8"/>
  <c r="I251" i="8"/>
  <c r="J261" i="8" l="1"/>
  <c r="J355" i="8"/>
  <c r="J253" i="8"/>
  <c r="J251" i="8"/>
  <c r="J269" i="8"/>
  <c r="J366" i="8"/>
  <c r="J367" i="8" s="1"/>
  <c r="I277" i="8"/>
  <c r="I267" i="8"/>
  <c r="I263" i="8"/>
  <c r="I367" i="8"/>
  <c r="K353" i="8"/>
  <c r="K352" i="8" s="1"/>
  <c r="L25" i="2"/>
  <c r="K363" i="8"/>
  <c r="K362" i="8" s="1"/>
  <c r="L372" i="8"/>
  <c r="K269" i="8" l="1"/>
  <c r="K366" i="8"/>
  <c r="K261" i="8"/>
  <c r="K355" i="8"/>
  <c r="K253" i="8"/>
  <c r="K251" i="8"/>
  <c r="L363" i="8"/>
  <c r="L362" i="8" s="1"/>
  <c r="M372" i="8"/>
  <c r="L353" i="8"/>
  <c r="L352" i="8" s="1"/>
  <c r="M25" i="2"/>
  <c r="J267" i="8"/>
  <c r="J263" i="8"/>
  <c r="J277" i="8"/>
  <c r="L253" i="8" l="1"/>
  <c r="L355" i="8"/>
  <c r="L261" i="8"/>
  <c r="L251" i="8"/>
  <c r="L269" i="8"/>
  <c r="L366" i="8"/>
  <c r="L367" i="8" s="1"/>
  <c r="M353" i="8"/>
  <c r="M352" i="8" s="1"/>
  <c r="N25" i="2"/>
  <c r="N372" i="8"/>
  <c r="M363" i="8"/>
  <c r="M362" i="8" s="1"/>
  <c r="K277" i="8"/>
  <c r="K263" i="8"/>
  <c r="K267" i="8"/>
  <c r="K367" i="8"/>
  <c r="M269" i="8" l="1"/>
  <c r="M366" i="8"/>
  <c r="N353" i="8"/>
  <c r="N352" i="8" s="1"/>
  <c r="O25" i="2"/>
  <c r="L263" i="8"/>
  <c r="L267" i="8"/>
  <c r="L277" i="8"/>
  <c r="N363" i="8"/>
  <c r="N362" i="8" s="1"/>
  <c r="O372" i="8"/>
  <c r="M253" i="8"/>
  <c r="M261" i="8"/>
  <c r="M355" i="8"/>
  <c r="M251" i="8"/>
  <c r="M277" i="8" l="1"/>
  <c r="M263" i="8"/>
  <c r="M267" i="8"/>
  <c r="N269" i="8"/>
  <c r="N366" i="8"/>
  <c r="N253" i="8"/>
  <c r="N355" i="8"/>
  <c r="N261" i="8"/>
  <c r="N251" i="8"/>
  <c r="O363" i="8"/>
  <c r="O362" i="8" s="1"/>
  <c r="P372" i="8"/>
  <c r="O353" i="8"/>
  <c r="O352" i="8" s="1"/>
  <c r="P25" i="2"/>
  <c r="M367" i="8"/>
  <c r="P353" i="8" l="1"/>
  <c r="P352" i="8" s="1"/>
  <c r="Q25" i="2"/>
  <c r="P363" i="8"/>
  <c r="P362" i="8" s="1"/>
  <c r="Q372" i="8"/>
  <c r="N263" i="8"/>
  <c r="N277" i="8"/>
  <c r="N267" i="8"/>
  <c r="N367" i="8"/>
  <c r="O253" i="8"/>
  <c r="O355" i="8"/>
  <c r="O261" i="8"/>
  <c r="O251" i="8"/>
  <c r="O366" i="8"/>
  <c r="O269" i="8"/>
  <c r="O277" i="8" l="1"/>
  <c r="O267" i="8"/>
  <c r="O263" i="8"/>
  <c r="R372" i="8"/>
  <c r="Q363" i="8"/>
  <c r="Q362" i="8" s="1"/>
  <c r="P261" i="8"/>
  <c r="P253" i="8"/>
  <c r="P355" i="8"/>
  <c r="P251" i="8"/>
  <c r="O367" i="8"/>
  <c r="P366" i="8"/>
  <c r="P269" i="8"/>
  <c r="Q353" i="8"/>
  <c r="Q352" i="8" s="1"/>
  <c r="R25" i="2"/>
  <c r="P367" i="8" l="1"/>
  <c r="Q261" i="8"/>
  <c r="Q253" i="8"/>
  <c r="Q355" i="8"/>
  <c r="Q251" i="8"/>
  <c r="Q269" i="8"/>
  <c r="Q366" i="8"/>
  <c r="R353" i="8"/>
  <c r="R352" i="8" s="1"/>
  <c r="S25" i="2"/>
  <c r="P267" i="8"/>
  <c r="P263" i="8"/>
  <c r="P277" i="8"/>
  <c r="R363" i="8"/>
  <c r="R362" i="8" s="1"/>
  <c r="S372" i="8"/>
  <c r="R366" i="8" l="1"/>
  <c r="R269" i="8"/>
  <c r="R261" i="8"/>
  <c r="R355" i="8"/>
  <c r="R253" i="8"/>
  <c r="R251" i="8"/>
  <c r="Q263" i="8"/>
  <c r="Q267" i="8"/>
  <c r="Q277" i="8"/>
  <c r="T372" i="8"/>
  <c r="S363" i="8"/>
  <c r="S362" i="8" s="1"/>
  <c r="S353" i="8"/>
  <c r="S352" i="8" s="1"/>
  <c r="T25" i="2"/>
  <c r="Q367" i="8"/>
  <c r="R367" i="8" l="1"/>
  <c r="T353" i="8"/>
  <c r="T352" i="8" s="1"/>
  <c r="U25" i="2"/>
  <c r="S366" i="8"/>
  <c r="S269" i="8"/>
  <c r="S261" i="8"/>
  <c r="S355" i="8"/>
  <c r="S253" i="8"/>
  <c r="S251" i="8"/>
  <c r="T363" i="8"/>
  <c r="T362" i="8" s="1"/>
  <c r="U372" i="8"/>
  <c r="R263" i="8"/>
  <c r="R277" i="8"/>
  <c r="R267" i="8"/>
  <c r="U363" i="8" l="1"/>
  <c r="U362" i="8" s="1"/>
  <c r="V372" i="8"/>
  <c r="S263" i="8"/>
  <c r="S267" i="8"/>
  <c r="S277" i="8"/>
  <c r="T261" i="8"/>
  <c r="T253" i="8"/>
  <c r="T355" i="8"/>
  <c r="T251" i="8"/>
  <c r="T366" i="8"/>
  <c r="T269" i="8"/>
  <c r="S367" i="8"/>
  <c r="U353" i="8"/>
  <c r="U352" i="8" s="1"/>
  <c r="V25" i="2"/>
  <c r="T367" i="8" l="1"/>
  <c r="U261" i="8"/>
  <c r="U355" i="8"/>
  <c r="U253" i="8"/>
  <c r="U251" i="8"/>
  <c r="V353" i="8"/>
  <c r="V352" i="8" s="1"/>
  <c r="W25" i="2"/>
  <c r="T267" i="8"/>
  <c r="T277" i="8"/>
  <c r="T263" i="8"/>
  <c r="V363" i="8"/>
  <c r="V362" i="8" s="1"/>
  <c r="W372" i="8"/>
  <c r="U366" i="8"/>
  <c r="U269" i="8"/>
  <c r="U367" i="8" l="1"/>
  <c r="V269" i="8"/>
  <c r="V366" i="8"/>
  <c r="V261" i="8"/>
  <c r="V253" i="8"/>
  <c r="V355" i="8"/>
  <c r="V251" i="8"/>
  <c r="W363" i="8"/>
  <c r="W362" i="8" s="1"/>
  <c r="X372" i="8"/>
  <c r="W353" i="8"/>
  <c r="W352" i="8" s="1"/>
  <c r="X25" i="2"/>
  <c r="U263" i="8"/>
  <c r="U267" i="8"/>
  <c r="U277" i="8"/>
  <c r="W261" i="8" l="1"/>
  <c r="W253" i="8"/>
  <c r="W355" i="8"/>
  <c r="W251" i="8"/>
  <c r="W269" i="8"/>
  <c r="W366" i="8"/>
  <c r="V277" i="8"/>
  <c r="V267" i="8"/>
  <c r="V263" i="8"/>
  <c r="X353" i="8"/>
  <c r="X352" i="8" s="1"/>
  <c r="Y25" i="2"/>
  <c r="X363" i="8"/>
  <c r="X362" i="8" s="1"/>
  <c r="Y372" i="8"/>
  <c r="V367" i="8"/>
  <c r="X269" i="8" l="1"/>
  <c r="X366" i="8"/>
  <c r="Y353" i="8"/>
  <c r="Y352" i="8" s="1"/>
  <c r="Z25" i="2"/>
  <c r="W263" i="8"/>
  <c r="W277" i="8"/>
  <c r="W267" i="8"/>
  <c r="Z372" i="8"/>
  <c r="Y363" i="8"/>
  <c r="Y362" i="8" s="1"/>
  <c r="X261" i="8"/>
  <c r="X355" i="8"/>
  <c r="X253" i="8"/>
  <c r="X251" i="8"/>
  <c r="W367" i="8"/>
  <c r="Y366" i="8" l="1"/>
  <c r="Y269" i="8"/>
  <c r="Y253" i="8"/>
  <c r="Y261" i="8"/>
  <c r="Y355" i="8"/>
  <c r="Y251" i="8"/>
  <c r="X277" i="8"/>
  <c r="X263" i="8"/>
  <c r="X267" i="8"/>
  <c r="Z363" i="8"/>
  <c r="Z362" i="8" s="1"/>
  <c r="AA372" i="8"/>
  <c r="Z353" i="8"/>
  <c r="Z352" i="8" s="1"/>
  <c r="AA25" i="2"/>
  <c r="X367" i="8"/>
  <c r="AA353" i="8" l="1"/>
  <c r="AA352" i="8" s="1"/>
  <c r="AB25" i="2"/>
  <c r="AA363" i="8"/>
  <c r="AA362" i="8" s="1"/>
  <c r="AB372" i="8"/>
  <c r="Y263" i="8"/>
  <c r="Y277" i="8"/>
  <c r="Y267" i="8"/>
  <c r="Y367" i="8"/>
  <c r="Z261" i="8"/>
  <c r="Z355" i="8"/>
  <c r="Z253" i="8"/>
  <c r="Z251" i="8"/>
  <c r="Z269" i="8"/>
  <c r="Z366" i="8"/>
  <c r="Z367" i="8" s="1"/>
  <c r="Z267" i="8" l="1"/>
  <c r="Z263" i="8"/>
  <c r="Z277" i="8"/>
  <c r="AB363" i="8"/>
  <c r="AB362" i="8" s="1"/>
  <c r="AC372" i="8"/>
  <c r="AA269" i="8"/>
  <c r="AA366" i="8"/>
  <c r="AB353" i="8"/>
  <c r="AB352" i="8" s="1"/>
  <c r="AC25" i="2"/>
  <c r="AA253" i="8"/>
  <c r="AA261" i="8"/>
  <c r="AA355" i="8"/>
  <c r="AA251" i="8"/>
  <c r="AA367" i="8" l="1"/>
  <c r="AC353" i="8"/>
  <c r="AC352" i="8" s="1"/>
  <c r="AD25" i="2"/>
  <c r="AA263" i="8"/>
  <c r="AA277" i="8"/>
  <c r="AA267" i="8"/>
  <c r="AB253" i="8"/>
  <c r="AB355" i="8"/>
  <c r="AB261" i="8"/>
  <c r="AB251" i="8"/>
  <c r="AB269" i="8"/>
  <c r="AB366" i="8"/>
  <c r="AB367" i="8" s="1"/>
  <c r="AC363" i="8"/>
  <c r="AC362" i="8" s="1"/>
  <c r="AD372" i="8"/>
  <c r="AD363" i="8" l="1"/>
  <c r="AD362" i="8" s="1"/>
  <c r="AE372" i="8"/>
  <c r="AB263" i="8"/>
  <c r="AB267" i="8"/>
  <c r="AB277" i="8"/>
  <c r="AD353" i="8"/>
  <c r="AD352" i="8" s="1"/>
  <c r="AE25" i="2"/>
  <c r="AC366" i="8"/>
  <c r="AC269" i="8"/>
  <c r="AC261" i="8"/>
  <c r="AC355" i="8"/>
  <c r="AC253" i="8"/>
  <c r="AC251" i="8"/>
  <c r="AC367" i="8" l="1"/>
  <c r="AD261" i="8"/>
  <c r="AD355" i="8"/>
  <c r="AD253" i="8"/>
  <c r="AD251" i="8"/>
  <c r="AE363" i="8"/>
  <c r="AE362" i="8" s="1"/>
  <c r="AF372" i="8"/>
  <c r="AC277" i="8"/>
  <c r="AC267" i="8"/>
  <c r="AC263" i="8"/>
  <c r="AE353" i="8"/>
  <c r="AE352" i="8" s="1"/>
  <c r="AF25" i="2"/>
  <c r="AD366" i="8"/>
  <c r="AD269" i="8"/>
  <c r="AE253" i="8" l="1"/>
  <c r="AE261" i="8"/>
  <c r="AE355" i="8"/>
  <c r="AE251" i="8"/>
  <c r="AF363" i="8"/>
  <c r="AF362" i="8" s="1"/>
  <c r="AG372" i="8"/>
  <c r="AD267" i="8"/>
  <c r="AD263" i="8"/>
  <c r="AD277" i="8"/>
  <c r="AD367" i="8"/>
  <c r="AF353" i="8"/>
  <c r="AF352" i="8" s="1"/>
  <c r="AG25" i="2"/>
  <c r="AE366" i="8"/>
  <c r="AE269" i="8"/>
  <c r="AE367" i="8" l="1"/>
  <c r="AF261" i="8"/>
  <c r="AF355" i="8"/>
  <c r="AF253" i="8"/>
  <c r="AF251" i="8"/>
  <c r="AF269" i="8"/>
  <c r="AF366" i="8"/>
  <c r="AF367" i="8" s="1"/>
  <c r="AE263" i="8"/>
  <c r="AE267" i="8"/>
  <c r="AE277" i="8"/>
  <c r="AG353" i="8"/>
  <c r="AG352" i="8" s="1"/>
  <c r="AH25" i="2"/>
  <c r="AH372" i="8"/>
  <c r="AG363" i="8"/>
  <c r="AG362" i="8" s="1"/>
  <c r="AI372" i="8" l="1"/>
  <c r="AI363" i="8" s="1"/>
  <c r="AI362" i="8" s="1"/>
  <c r="AH363" i="8"/>
  <c r="AH362" i="8" s="1"/>
  <c r="AH353" i="8"/>
  <c r="AH352" i="8" s="1"/>
  <c r="AI25" i="2"/>
  <c r="AI353" i="8" s="1"/>
  <c r="AI352" i="8" s="1"/>
  <c r="AG269" i="8"/>
  <c r="AG366" i="8"/>
  <c r="AG253" i="8"/>
  <c r="AG261" i="8"/>
  <c r="AG355" i="8"/>
  <c r="AG251" i="8"/>
  <c r="AF277" i="8"/>
  <c r="AF267" i="8"/>
  <c r="AF263" i="8"/>
  <c r="B4" i="14" l="1"/>
  <c r="AH253" i="8"/>
  <c r="AH261" i="8"/>
  <c r="AH355" i="8"/>
  <c r="AH251" i="8"/>
  <c r="AI269" i="8"/>
  <c r="AI366" i="8"/>
  <c r="AG263" i="8"/>
  <c r="AG267" i="8"/>
  <c r="AG277" i="8"/>
  <c r="AG367" i="8"/>
  <c r="AI261" i="8"/>
  <c r="AI253" i="8"/>
  <c r="AI355" i="8"/>
  <c r="AI251" i="8"/>
  <c r="AH366" i="8"/>
  <c r="AH367" i="8" s="1"/>
  <c r="AH269" i="8"/>
  <c r="AI367" i="8" l="1"/>
  <c r="AI263" i="8"/>
  <c r="AI277" i="8"/>
  <c r="AI267" i="8"/>
  <c r="AH263" i="8"/>
  <c r="AH267" i="8"/>
  <c r="AH277" i="8"/>
</calcChain>
</file>

<file path=xl/sharedStrings.xml><?xml version="1.0" encoding="utf-8"?>
<sst xmlns="http://schemas.openxmlformats.org/spreadsheetml/2006/main" count="1138" uniqueCount="666">
  <si>
    <t>Datu ievades lapa</t>
  </si>
  <si>
    <t>Finansējuma saņēmējs</t>
  </si>
  <si>
    <t>Projekta nosaukums</t>
  </si>
  <si>
    <t>Finansējuma saņēmēja juridiskā forma</t>
  </si>
  <si>
    <t>Komercsabiedrība</t>
  </si>
  <si>
    <t>Ilgtermiņa ieguldījumu nolietojums (gados)</t>
  </si>
  <si>
    <t>Ūdens un kanalizācijas vadi</t>
  </si>
  <si>
    <t>Rezervuāri un tilpnes</t>
  </si>
  <si>
    <t>Ēkas un būves</t>
  </si>
  <si>
    <t>Iekārtas un mašīnas</t>
  </si>
  <si>
    <t>Nemateriālie ieguldījumi</t>
  </si>
  <si>
    <t>Ekspluatācijas uzsākšanas gads</t>
  </si>
  <si>
    <t>Analīzes perioda ilgums, gadi</t>
  </si>
  <si>
    <t>PL atlikušais darbības laiks perioda beigās, gadi</t>
  </si>
  <si>
    <t>Vidējais mājsaimniecības locekļu skaits</t>
  </si>
  <si>
    <t>Vidējie mājsaimniecību ienākumi uz 1 locekli, mēn.</t>
  </si>
  <si>
    <t>Gadi</t>
  </si>
  <si>
    <t>Valsts budžeta dotācija</t>
  </si>
  <si>
    <t>Projektu finansēs ar aizņēmumu?</t>
  </si>
  <si>
    <t>Jā</t>
  </si>
  <si>
    <t>Nē</t>
  </si>
  <si>
    <t>Būvuzraudzība</t>
  </si>
  <si>
    <t>Autoruzraudzība</t>
  </si>
  <si>
    <t>PVN</t>
  </si>
  <si>
    <t>Pamatlīdzekļu nolietojuma aprēķins</t>
  </si>
  <si>
    <t>Citas ražošanas uzsākšanas izmaksas</t>
  </si>
  <si>
    <t>Esošo pamatlīdzekļu kopējā vērtība</t>
  </si>
  <si>
    <t>Esošo pamatlīdzekļu nolietojums ūdensapgādes pakalpojumiem</t>
  </si>
  <si>
    <t>Esošo pamatlīdzekļu nolietojums kanalizācijas pakalpojumi</t>
  </si>
  <si>
    <t>Ūdensapgādes pakalpojumi</t>
  </si>
  <si>
    <t>Mainīgās izmaksas</t>
  </si>
  <si>
    <t xml:space="preserve">    Materiāli un remontdarbu izmaksas</t>
  </si>
  <si>
    <t xml:space="preserve">    Elektroenerģija</t>
  </si>
  <si>
    <t xml:space="preserve">    Dabas resursu nodoklis</t>
  </si>
  <si>
    <t xml:space="preserve">    Pakalpojumi</t>
  </si>
  <si>
    <t>Fiksētās izmaksas</t>
  </si>
  <si>
    <t xml:space="preserve">    Darba algas</t>
  </si>
  <si>
    <t xml:space="preserve">    Darba devēja sociālais nodoklis</t>
  </si>
  <si>
    <t xml:space="preserve">    Citas fiksētās izmaksas</t>
  </si>
  <si>
    <t>Kanalizācijas pakalpojumi</t>
  </si>
  <si>
    <t>Debitoru parādu īpatsvars, %</t>
  </si>
  <si>
    <t>Aprēķinātais tarifu īpatsvars mājsaimniecību ienākumos:</t>
  </si>
  <si>
    <t>Tarifa aprēķinā ir iekļauts</t>
  </si>
  <si>
    <t>Tarifā iekļautā rentabilitāte</t>
  </si>
  <si>
    <t>Kopā</t>
  </si>
  <si>
    <t>Fiziskām personām</t>
  </si>
  <si>
    <t>Juridiskām personām</t>
  </si>
  <si>
    <t>Makroekonomiskie pieņēmumi</t>
  </si>
  <si>
    <t>Indekss</t>
  </si>
  <si>
    <t>Kopējā pamatkapitāla veidošanas deflators,%</t>
  </si>
  <si>
    <t>PVN ūdenssaimniecības pakalpojumiem</t>
  </si>
  <si>
    <t>Darba devēja sociālais nodoklis</t>
  </si>
  <si>
    <t>Uzņēmumu ienākuma nodoklis</t>
  </si>
  <si>
    <t>8.1. Saimnieciskās darbības naudas plūsma</t>
  </si>
  <si>
    <t>9.10. Peļņa vai zaudējumi pirms nodokļiem</t>
  </si>
  <si>
    <t>8.2. Debitoru parādi</t>
  </si>
  <si>
    <t>8.3. Pamatlīdzekļu nolietojums</t>
  </si>
  <si>
    <t>8.4. Saimnieciskās darbības rezultāts</t>
  </si>
  <si>
    <t>8.5. Investīciju darbības naudas plūsma</t>
  </si>
  <si>
    <t>1.7. Investīcijas pamatlīdzekļos</t>
  </si>
  <si>
    <t>8.6. Investīciju darbības rezultāts</t>
  </si>
  <si>
    <t>8.7. Finansiālās darbības naudas plūsma</t>
  </si>
  <si>
    <t>3.9. Kopā finanšu avoti</t>
  </si>
  <si>
    <t>8.8. Finansiālās darbības rezultāts</t>
  </si>
  <si>
    <t>8.9.Naudas un tās ekvivalentu izmaiņas pārskata perioda laikā</t>
  </si>
  <si>
    <t>8.10.Naudas un tās atlikumu atlikums pārskata perioda beigās</t>
  </si>
  <si>
    <t>2.1. Ūdensapgādes pakalpojumi</t>
  </si>
  <si>
    <t>2.2. Materiāli un remontdarbu izmaksas</t>
  </si>
  <si>
    <t>2.3. Elektroenerģija</t>
  </si>
  <si>
    <t>2.4. Dabas resursu nodoklis</t>
  </si>
  <si>
    <t>2.5. Pakalpojumi</t>
  </si>
  <si>
    <t>2.7.Kanalizācijas pakalpojumi</t>
  </si>
  <si>
    <t>2.8. Materiāli un remontdarbu izmaksas</t>
  </si>
  <si>
    <t>2.9. Elektroenerģija</t>
  </si>
  <si>
    <t>2.10. Dabas resursu nodoklis</t>
  </si>
  <si>
    <t>2.11. Pakalpojumi</t>
  </si>
  <si>
    <t>2.13. Kopā mainīgās izmaksas</t>
  </si>
  <si>
    <t>2.14.Ūdensapgādes pakalpojumi</t>
  </si>
  <si>
    <t>2.15. Darba algas</t>
  </si>
  <si>
    <t>2.16. Darba devēja sociālais nodoklis</t>
  </si>
  <si>
    <t>2.17. Citas fiksētās izmaksas</t>
  </si>
  <si>
    <t>2.18.Kanalizācijas pakalpojumi</t>
  </si>
  <si>
    <t>2.19. Darba algas</t>
  </si>
  <si>
    <t>2.20. Darba devēja sociālais nodoklis</t>
  </si>
  <si>
    <t>2.21. Citas fiksētās izmaksas</t>
  </si>
  <si>
    <t>2.22. Kopā fiksētās izmaksas</t>
  </si>
  <si>
    <t>2.23. Kopā saimnieciskās pamatdarbības izdevumi</t>
  </si>
  <si>
    <t>2.24. Mājsaimniecības</t>
  </si>
  <si>
    <t>2.25. Iestādes</t>
  </si>
  <si>
    <t>2.26. Uzņēmumi</t>
  </si>
  <si>
    <t>2.27. Kopā ūdensapgādes pakalpojumi</t>
  </si>
  <si>
    <t>2.28. Mājsaimniecības</t>
  </si>
  <si>
    <t>2.29. Iestādes</t>
  </si>
  <si>
    <t>2.30. Uzņēmumi</t>
  </si>
  <si>
    <t>2.31. Kopā kanalizācijas pakalpojumi</t>
  </si>
  <si>
    <t>2.32. Saimnieciskās pamatdarbības ieņēmumi</t>
  </si>
  <si>
    <t>2.33. Saimnieciskās pamatdarbības rezultāts</t>
  </si>
  <si>
    <t>Pie tarifu apjoma, kas sedz pilnas sistēmas izmaksas</t>
  </si>
  <si>
    <t>11.2. Ūdens patēriņš (m3/uz mājsaimniecību mēnesī)</t>
  </si>
  <si>
    <t>11.5. Notekūdeņu apjoms (m3/uz mājsaimniecību mēnesī)</t>
  </si>
  <si>
    <t>11.8. Kopā izdevumi ūdenssaimniecības pakalpojumiem</t>
  </si>
  <si>
    <t>11.9. Izdevumi % no mājsaimn.vidējiem mēn. ienākumiem</t>
  </si>
  <si>
    <t>Finanšu modeļa aprēķinu tabulas</t>
  </si>
  <si>
    <t>Ūdensapgādes  sistēma</t>
  </si>
  <si>
    <t xml:space="preserve">    Sākotnējā vērtība</t>
  </si>
  <si>
    <t xml:space="preserve">    Nolietojuma likme</t>
  </si>
  <si>
    <t xml:space="preserve">    Nolietojums gadā</t>
  </si>
  <si>
    <t xml:space="preserve">    Nolietojums uzkrājošā formā</t>
  </si>
  <si>
    <t xml:space="preserve">    Atlikuma vērtība</t>
  </si>
  <si>
    <t>Kanalizācijas  sistēma</t>
  </si>
  <si>
    <t>Projekta investīciju finanšu atdeve</t>
  </si>
  <si>
    <t>Nediskontētas kopējās investīciju izmaksas, bez PVN</t>
  </si>
  <si>
    <t>Diskontētās kopējās investīciju izmaksas, bez PVN</t>
  </si>
  <si>
    <t>Nediskontētās investīciju attiecināmās izmaksas:</t>
  </si>
  <si>
    <t>Diskontētās investīciju attiecināmās izmaksas:</t>
  </si>
  <si>
    <t>Diskontētais saimn. pamatdarb. rezultāts</t>
  </si>
  <si>
    <t>Diskontētie pamatdarbības ieņēmumi</t>
  </si>
  <si>
    <t>Diskontētās pamatdarbības izmaksas</t>
  </si>
  <si>
    <t>Diskontētie PROJEKTA pamatdarbības ieņēmumi</t>
  </si>
  <si>
    <t>Diskontētās PROJEKTA pamatdarbības izmaksas</t>
  </si>
  <si>
    <t>Nediskontētā pamatlīdzekļu atlikusī vērtība</t>
  </si>
  <si>
    <t>Diskontētā pamatlīdzekļu atlikusī vērtība</t>
  </si>
  <si>
    <t>Investīciju sadalījums starp sektoriem</t>
  </si>
  <si>
    <t>Ūdensapgādes daļa</t>
  </si>
  <si>
    <t>Kanalizācijas daļa</t>
  </si>
  <si>
    <t>Investīcijas ūdensapgādes  sistēmā</t>
  </si>
  <si>
    <t>1.1.Ēkas un būves</t>
  </si>
  <si>
    <t>1.2.Iekārtas un mašīnas</t>
  </si>
  <si>
    <t>1.3. Pamatlīdzekļi</t>
  </si>
  <si>
    <t>1.4.Nemateriālie ieguldījumi</t>
  </si>
  <si>
    <t>1.6. Ražošanas uzsākšanas izmaksas</t>
  </si>
  <si>
    <t>1.7 Kopā investīciju izmaksas</t>
  </si>
  <si>
    <t>Investīcijas kanalizācijas sistēmā</t>
  </si>
  <si>
    <t>3.4. Valsts budžeta dotācija</t>
  </si>
  <si>
    <t>3.6. Kopā nacionālais finansējums</t>
  </si>
  <si>
    <t>Kopā nacionālais finansējums bez aizņēmumiem</t>
  </si>
  <si>
    <t>3.8. Kopā finanšu avoti</t>
  </si>
  <si>
    <t>Kopā atbalsts</t>
  </si>
  <si>
    <t>4.1. Kopā ienākošās naudas plūsma</t>
  </si>
  <si>
    <t>1.7. Kopā investīciju izmaksas</t>
  </si>
  <si>
    <t>4.2. Kopā izejošās naudas plūsma</t>
  </si>
  <si>
    <t>4.3. Neto naudas plūsma</t>
  </si>
  <si>
    <t>4.4. Nepieciešamās pašvaldības vai uzņēmuma subsīdījas</t>
  </si>
  <si>
    <t>4.5. Kumulatīvā naudas plūsma</t>
  </si>
  <si>
    <t>5.1. Kopā ieņēmumi</t>
  </si>
  <si>
    <t>2.23. Saimnieciskās pamatdarbības izdevumi</t>
  </si>
  <si>
    <t>5.2. Kopā izdevumi</t>
  </si>
  <si>
    <t>5.3. Neto naudas plūsma</t>
  </si>
  <si>
    <t xml:space="preserve">5.4. Investīciju iekšējā peļņas norma (FRR/C) </t>
  </si>
  <si>
    <t xml:space="preserve">5.5. Investīciju tīrā šodienas vērtība (FNPV/C) </t>
  </si>
  <si>
    <t>Projekta finanšu darbību raksturojoši koeficienti</t>
  </si>
  <si>
    <t xml:space="preserve">5.7. Likviditātes (apgrozāmo līdzekļu) Analīze  </t>
  </si>
  <si>
    <t>5.8. Vispārējais apgrozāmo līdzekļu koeficients = Apgrozāmie līdzekļi / Īstermiņa parādi</t>
  </si>
  <si>
    <t>5.9. Brīvie apgrozāmie līdzekļi = Apgrozāmie līdzekļi – Īstermiņa parādi</t>
  </si>
  <si>
    <t>5.9. Parāda nomaksas koeficients=saimnieciskās darbības rezultāts/(aizņēmumu pamatsummas atmaksa/procentu maksājumi)</t>
  </si>
  <si>
    <t xml:space="preserve">5.11. Aktivitātes koeficienti  </t>
  </si>
  <si>
    <t xml:space="preserve">5.12. Pircēju un pasūtītāju debeta apgrozījums = Neto apgrozījums  / Debitori kopā </t>
  </si>
  <si>
    <t>5.13. Apgrozāmo līdzekļu kustība = Neto Apgrozījums / Apgrozāmie līdzekļi</t>
  </si>
  <si>
    <t>5.14. Kopējo aktīvu apgrozījums = Neto Apgrozījums / Kopējiem aktīviem</t>
  </si>
  <si>
    <t>5.10. Finanšu līdzsvara koeficients = Pašu kapitāls / Kopējie aktīvi</t>
  </si>
  <si>
    <t>5.17. Parāds pret pašu kapitālu = Kreditori / Pašu kapitāls</t>
  </si>
  <si>
    <t>5.18. Ilgtermiņa aktīvi pret Pašu kapitālu = Ilgtermiņa ieguldījumi / Pašu kapitāls</t>
  </si>
  <si>
    <t>.5.20. Kapitāla atdeve = Pārskata perioda peļņa vai zaudējumi pēc nodokļiem (tīrie ieņēmumi) /Pašu kapitālu * 100 % </t>
  </si>
  <si>
    <t>5.21. Aktīvu atdeve = Pārskata perioda peļņa vai zaudējumi pēc nodokļiem (tīrie ieņēmumi) / Aktīvu bilance * 100 % </t>
  </si>
  <si>
    <t>5.22. Ilgtermiņa ieguldījumu atdeve = Pārskata perioda peļņa vai zaudējumi pēc nodokļiem (tīrie ieņēmumi) / Ilgtermiņa ieguldījumi * 100 % </t>
  </si>
  <si>
    <t>5.11. Peļņa pēc nodokļiem+ (Amortizācija*50%)</t>
  </si>
  <si>
    <t>6.12. Procentu atmaksa</t>
  </si>
  <si>
    <t>6.13. Pamatsummas atmaksa</t>
  </si>
  <si>
    <t>Nacionālais finansējums bez aizņēmumiem</t>
  </si>
  <si>
    <t>5.2. Kopā izmaksas</t>
  </si>
  <si>
    <t xml:space="preserve">5.4. Investīciju iekšējā peļņas norma (FRR/K) </t>
  </si>
  <si>
    <t xml:space="preserve">5.5. Investīciju tīrā šodienas vērtība (FNPV/K) </t>
  </si>
  <si>
    <t>6.2. Procentu likme</t>
  </si>
  <si>
    <t>6.3. Aizņēmuma pamatsumma</t>
  </si>
  <si>
    <t>6.4. Kopā maksājumi</t>
  </si>
  <si>
    <t>6.5. Procentu atmaksa</t>
  </si>
  <si>
    <t>6.6. Pamatsummas atmaksa</t>
  </si>
  <si>
    <t>6.7. Maksājumu bilance</t>
  </si>
  <si>
    <t>9.1. Saimnieciskās pamatdarbības ieņēmumi</t>
  </si>
  <si>
    <t>9.2. Ūdensapgādes pakalpojumi</t>
  </si>
  <si>
    <t>2.12. Mājsaimniecības</t>
  </si>
  <si>
    <t>2.13. Iestādes</t>
  </si>
  <si>
    <t>2.14. Uzņēmumi</t>
  </si>
  <si>
    <t>9.4. Kanalizācijas pakalpojumi</t>
  </si>
  <si>
    <t>2.16. Mājsaimniecības</t>
  </si>
  <si>
    <t>2.17. Iestādes</t>
  </si>
  <si>
    <t>2.18. Uzņēmumi</t>
  </si>
  <si>
    <t>9.6. Saimnieciskās pamatdarbības izdevumi</t>
  </si>
  <si>
    <t>9.7. Mainīgās izmaksas</t>
  </si>
  <si>
    <t>2.1. Materiāli un remontdarbu izmaksas</t>
  </si>
  <si>
    <t>2.2. Elektroenerģija</t>
  </si>
  <si>
    <t>2.3. Dabas resursu nodoklis</t>
  </si>
  <si>
    <t>2.4. Pakalpojumi</t>
  </si>
  <si>
    <t>9.8 Fiksētās izmaksas</t>
  </si>
  <si>
    <t>2.7. Darba algas</t>
  </si>
  <si>
    <t>2.8. Darba devēja sociālais nodoklis</t>
  </si>
  <si>
    <t>2.9. Citas fiksētās izmaksas</t>
  </si>
  <si>
    <t>9.9. Saimnieciskās pamatdarbības rezultāts</t>
  </si>
  <si>
    <t xml:space="preserve">9.10. Procentu maksājumi </t>
  </si>
  <si>
    <t>9.11. Nolietojums</t>
  </si>
  <si>
    <t>9.12. Peļņa vai zaudējumi pirms nodokļiem</t>
  </si>
  <si>
    <t>10.1. AKTĪVI</t>
  </si>
  <si>
    <t>10.2. Kopā pamatlīdzekļi un nemat. ieguld.</t>
  </si>
  <si>
    <t>10.3. Būves un ēkas</t>
  </si>
  <si>
    <t>10.4. Iekārtas un mašīnas</t>
  </si>
  <si>
    <t>10.6. Kopā apgrozāmie līdzekļi</t>
  </si>
  <si>
    <t>10.7. Naudas līdzekļi</t>
  </si>
  <si>
    <t>10.8. Debitori</t>
  </si>
  <si>
    <t>10.9. Kopā aktīvi</t>
  </si>
  <si>
    <t>10.10. PASĪVI</t>
  </si>
  <si>
    <t>10.11. Kopā pašu kapitāls</t>
  </si>
  <si>
    <t>10.12. Pamatkapitāls</t>
  </si>
  <si>
    <t>10.12. Nesadalītā peļņa</t>
  </si>
  <si>
    <t>10.13. Pārskata gada nesadalītā peļņa</t>
  </si>
  <si>
    <t>10.14.Iepriekšējo periodu nesadalītā peļņa</t>
  </si>
  <si>
    <t>10.15. Kopā ilgtermiņa kreditori</t>
  </si>
  <si>
    <t>10.15.1. Tajā skaitā ES un valsts atbalsts</t>
  </si>
  <si>
    <t>10.16. Kopā īstermiņa kreditori</t>
  </si>
  <si>
    <t>10.17. Kopā pasīvi</t>
  </si>
  <si>
    <t>ES un valsts atbalsts</t>
  </si>
  <si>
    <t>Kārtējā gada ilgtermiņa daļa</t>
  </si>
  <si>
    <t>Kārtējā gada īstermiņa daļa</t>
  </si>
  <si>
    <t>Ūdensapgādes izdevumu īpatsvars kopējos izdevumos</t>
  </si>
  <si>
    <t>Kanalizācijas izdevumu īpatsvars kopējos izdevumos</t>
  </si>
  <si>
    <t>Pieļaujamie izdevumi ūdensapgādes pakalpojumiem:</t>
  </si>
  <si>
    <t>Pieļaujamie izdevumi kanalizācijas pakalpojumiem:</t>
  </si>
  <si>
    <t>PVN investīcijām</t>
  </si>
  <si>
    <t>Saimnieciskās pamatdarbības rezultāts situācijai AR projektu</t>
  </si>
  <si>
    <t>Saimnieciskās pamatdarbības rezultāts situācijā BEZ projekta</t>
  </si>
  <si>
    <t xml:space="preserve">Projekta radītie saimnieciskās pamatdarbības ieņēmumi un izdevumi </t>
  </si>
  <si>
    <t xml:space="preserve">Iedzīvotāju maksātspēja </t>
  </si>
  <si>
    <t>7.3.2. Galvenie finanšu analīzes rezultāti</t>
  </si>
  <si>
    <t>Bez Kopienas palīdzības
(FRR/C)
A</t>
  </si>
  <si>
    <t>Ar Kopienas palīdzību
(FRR/K)
B</t>
  </si>
  <si>
    <t>Finansiālā ienesīguma norma (%)</t>
  </si>
  <si>
    <t>Finansējuma deficīta likme, %</t>
  </si>
  <si>
    <t>Maksimālā priorit. virziena līdzfinansējuma likme</t>
  </si>
  <si>
    <t>KF ieguldījums (% no kopējām attiecināmām izmaksām)</t>
  </si>
  <si>
    <t>4=1*2</t>
  </si>
  <si>
    <t>5=6/1</t>
  </si>
  <si>
    <t>6=4*3</t>
  </si>
  <si>
    <t>7.3.1. tabula Attiecināmo izmaksu modelēšana</t>
  </si>
  <si>
    <t>Galvenie parametri</t>
  </si>
  <si>
    <t>Nediskontētā vērtība</t>
  </si>
  <si>
    <t>Diskontētā vērtība</t>
  </si>
  <si>
    <t>Nominālā ekonomiskā diskonta likme</t>
  </si>
  <si>
    <t>Ekonomiskā analīze</t>
  </si>
  <si>
    <t>Maksimālā KF līdzfinansējuma likme</t>
  </si>
  <si>
    <t>3.7. KF līdzfinansējums</t>
  </si>
  <si>
    <t xml:space="preserve">8.9.Pašvaldības līdzekļi </t>
  </si>
  <si>
    <t>Piezīme: finanšu modelī nav iekļauti pašvaldības vai pašvaldības komercsabiedrības īstermiņa aizņēmumi PVN samaksai (pie nosacījuma, ja aizņēmums ir nepieciešams)</t>
  </si>
  <si>
    <t>Esošie pamatlīdzekļi ūdensapgādes pakalpojumiem (uz perioda beigām)</t>
  </si>
  <si>
    <t>Esošie pamatlīdzekļi kanalizācijas pakalpojumi (uz perioda beigām)</t>
  </si>
  <si>
    <t>Būvekspertīze un būvprojekta izstrāde</t>
  </si>
  <si>
    <t>2,33 Pamatlīdzekļu atlikusī vērtība</t>
  </si>
  <si>
    <t>2.33 Pamatlīdzekļu atlikusī vērtība</t>
  </si>
  <si>
    <t>Aizņēmumi (kopā pamatsummas un procentu maksājumi)</t>
  </si>
  <si>
    <t>Kopā aizņēmumi</t>
  </si>
  <si>
    <t>Galvojumi (kopā pamatsummas un procentu maksājumi)</t>
  </si>
  <si>
    <t>Kopā galvojumi</t>
  </si>
  <si>
    <t>Kopā saistības</t>
  </si>
  <si>
    <t>Pašvaldības pamatbudžeta ieņēmumi</t>
  </si>
  <si>
    <t>Saistību apjoms pret pamatbudžeta ieņēmumiem</t>
  </si>
  <si>
    <t>Finansējuma deficīta likme</t>
  </si>
  <si>
    <t>Finansējuma saņēmēja ieguldījums attiecināmās izmaksās</t>
  </si>
  <si>
    <t>Valsts budžeta ieguldījums (% no kopējām attiecināmām izmaksām)</t>
  </si>
  <si>
    <t>Patēriņa cenu izmaiņas %</t>
  </si>
  <si>
    <t>Darba algas (bruto) izmaiņas, salīdzināmās cenās, %</t>
  </si>
  <si>
    <t>Nominālā finansiālā diskonta likme</t>
  </si>
  <si>
    <t>Ieguldījumu izmaksu kopsumma atbalstāmajās darbībās (EUR, nediskontēta, bez PVN):</t>
  </si>
  <si>
    <t>Ieguldījumu izmaksu kopsumma atbalstāmajās darbībās (EUR, diskontēta, bez PVN):</t>
  </si>
  <si>
    <t>Ieguldījumu attiecināmo izmaksu kopsumma (EUR, nediskontēta)</t>
  </si>
  <si>
    <t>Ieguldījumu attiecināmo izmaksu kopsumma (EUR, diskontēta)</t>
  </si>
  <si>
    <t>Atlikusī vērtība (EUR, nediskontēta)</t>
  </si>
  <si>
    <t>Atlikusī vērtība (EUR, diskontēta)</t>
  </si>
  <si>
    <t>Ieņēmumi (EUR, diskontētie)</t>
  </si>
  <si>
    <t>Darbības izmaksas (EUR, diskontētas)</t>
  </si>
  <si>
    <t>Tīrā pašreizējā vērtība (EUR)</t>
  </si>
  <si>
    <t>Ieguldījumu attiecināmo izmaksu kopsumma, EUR</t>
  </si>
  <si>
    <t>Lēmuma summa, EUR</t>
  </si>
  <si>
    <t>Kohēzijas fonda ieguldījums, EUR</t>
  </si>
  <si>
    <t>Valsts budžeta ieguldījums attiecināmās izmaksās, EUR</t>
  </si>
  <si>
    <t>Finansējuma saņēmēja ieguldījums deficīta segšanā, EUR</t>
  </si>
  <si>
    <t>Finansējuma saņēmēja ieguldījums attiecināmās izmaksās, EUR</t>
  </si>
  <si>
    <t>Finansējuma saņēmēja ieguldījumus kopā, EUR</t>
  </si>
  <si>
    <t>Investīciju izmaksu nolietojuma aprēķins  - EUR, faktiskajās cenās</t>
  </si>
  <si>
    <t>2.  Investīciju izmaksas (bez PVN)  - EUR, faktiskajās cenās</t>
  </si>
  <si>
    <t xml:space="preserve">3. Finanšu avoti - EUR, faktiskajās cenās </t>
  </si>
  <si>
    <t>4. Finanšu ilgtspēja - EUR, faktiskajās cenās</t>
  </si>
  <si>
    <t>5a. Projekta investīciju finanšu atdeve - EUR, faktiskajās cenās</t>
  </si>
  <si>
    <t>5b. Projekta pašu (valsts) kapitāla finanšu atdeve - EUR, faktiskajās cenās</t>
  </si>
  <si>
    <t>6. Aizņēmumu atmaksas grafiks - EUR, faktiskajās cenās</t>
  </si>
  <si>
    <t xml:space="preserve">7. Peļņas vai zaudējumu aprēķins - EUR, faktiskajās cenās </t>
  </si>
  <si>
    <t>8. Bilance - EUR, faktiskajās cenās</t>
  </si>
  <si>
    <t>Pašvaldības ilgtermiņa kredītsaistības - EUR, faktiskajās cenās</t>
  </si>
  <si>
    <t>11.1.Vidējie mājsaimniecības mēneša ienākumi (EUR)</t>
  </si>
  <si>
    <t>11.3. Ūdensapgādes tarifs (EUR/m3), iesk. PVN 21%</t>
  </si>
  <si>
    <t>11.4. Mājsaimniecības izdevumi ūdensapgādes pakalpojumiem mēnesī (EUR)</t>
  </si>
  <si>
    <t>11.6. Kanalizācijas tarifs (EUR/m3), iesk. PVN 21%</t>
  </si>
  <si>
    <t>11.7. Mājsaimniecības izdevumi kanalizācijas pakalpojumiem mēnesī (EUR)</t>
  </si>
  <si>
    <t>Tīrie ieņēmumi (EUR) = (diskontētie ieņēmumi - diskontētas darbības izmaksas + diskontēta atlikusī vērtība) x (diskontēta ieguldījumu attiecināmo izmaksu kopsumma / diskontēta kopējo ieguldījumu summas atbalstāmajās darbībās) = 
((9)-(10)+(8))x(6)/(4)</t>
  </si>
  <si>
    <t>Attiecināmās izmaksas = ieguldījumu attiecināmās izmaksas - tīrie ieņēmumi (EUR) = (6)-(11)</t>
  </si>
  <si>
    <t>Finansējuma deficīta likme (%) = (12)/(6)</t>
  </si>
  <si>
    <t>Lūdzu, izvēlēties no izvēlnes</t>
  </si>
  <si>
    <t>Pašvaldība vai pašvaldības iestāde, vai pašvaldības aģentūra</t>
  </si>
  <si>
    <t>Pamatlīdzekļu (PL) atlikušās vērtības gads</t>
  </si>
  <si>
    <t>Datu ievadei izmantojamā valūta ir eiro.</t>
  </si>
  <si>
    <r>
      <t>1.5.15. Kapitāla struktūras analīze </t>
    </r>
    <r>
      <rPr>
        <b/>
        <sz val="10"/>
        <rFont val="Arial"/>
        <family val="2"/>
        <charset val="186"/>
      </rPr>
      <t xml:space="preserve"> </t>
    </r>
  </si>
  <si>
    <r>
      <t>5.19. Ienesīguma koeficienti </t>
    </r>
    <r>
      <rPr>
        <b/>
        <sz val="10"/>
        <rFont val="Arial"/>
        <family val="2"/>
        <charset val="186"/>
      </rPr>
      <t xml:space="preserve"> </t>
    </r>
  </si>
  <si>
    <t>Valsts budžeta līdzfinansējuma aprēķins</t>
  </si>
  <si>
    <t>7.3.3. Kohēzijas fonda ieguldījuma aprēķins</t>
  </si>
  <si>
    <t>7.3.4. Valsts budžeta līdzfinansējuma aprēķins</t>
  </si>
  <si>
    <t>Dati jāievada projekta iesniedzējam</t>
  </si>
  <si>
    <t>Dati tiek aprēķināti automātiski</t>
  </si>
  <si>
    <t xml:space="preserve">Apzīmējumi: </t>
  </si>
  <si>
    <t>Citi pamatlīdzekļi</t>
  </si>
  <si>
    <t>Pēdējais noslēgtais gads pirms finanšu analīzes veikšanas</t>
  </si>
  <si>
    <t>2.5. Citas mainīgās izmaksas (tai skaitā atkārtotās investīcijas pamatlīdzekļos)</t>
  </si>
  <si>
    <t xml:space="preserve">Lēmuma summai ierobežotais KF finansējums </t>
  </si>
  <si>
    <t>Valsts budžeta ieguldījums no lēmuma summas</t>
  </si>
  <si>
    <t>kopējās investīcijas</t>
  </si>
  <si>
    <t>Pieļaujamais tarifs ūdensapgādes pakalpojumiem (ar PVN)</t>
  </si>
  <si>
    <t>Pieļaujamais tarifs kanalizācijas pakalpojumiem (ar PVN)</t>
  </si>
  <si>
    <t>aizņēmums kopā</t>
  </si>
  <si>
    <t>Lūdzu ievadiet projekta nosaukumu</t>
  </si>
  <si>
    <t>Sedz visas izmaksas</t>
  </si>
  <si>
    <t>Nepārsniedz tarifu pieļaujamo īpatsvaru mājsaimniecības ienākumos</t>
  </si>
  <si>
    <t>Aizņēmums</t>
  </si>
  <si>
    <t>Nolietojums</t>
  </si>
  <si>
    <t>Mājsaimniecību izdevumi</t>
  </si>
  <si>
    <t>Lūdzu ievadiet saņēmēja nosaukumu</t>
  </si>
  <si>
    <t>Kopējais iedzīvotāju skaits ūdensapgādes pakalpojumu sniegšanas zonā</t>
  </si>
  <si>
    <t>Ūdensapgādes sistēmai pieslēgto iedzīvotāju skaits</t>
  </si>
  <si>
    <t>Ūdens patēriņš litri uz cilvēku diennaktī</t>
  </si>
  <si>
    <t xml:space="preserve">Ūdens patēriņš iestādēs gadā, m3 </t>
  </si>
  <si>
    <t xml:space="preserve">Ūdens patēriņš uzņēmumos gadā, m3 </t>
  </si>
  <si>
    <t>Kanalizācijas sistēmai pieslēgto  iedzīvotāju skaits</t>
  </si>
  <si>
    <t xml:space="preserve">Notekūdeņu apjoms iestādēs gadā, m3 </t>
  </si>
  <si>
    <t xml:space="preserve">Notekūdeņu apjoms uzņēmumos gadā, m3 </t>
  </si>
  <si>
    <t>Ūdenssaimniecības tarifi, bez PVN, EUR/m3</t>
  </si>
  <si>
    <t>Notekūdeņu apjoms litri uz cilvēku diennaktī</t>
  </si>
  <si>
    <t>Esošie pamatlīdzekļi  (bez PVN)  - EUR, faktiskajās cenās</t>
  </si>
  <si>
    <t>Ievadiet gadu, kad plānojat uzsākt ekspluatēt jaunos ieguldījumus (izvēlieties gadu, kad ieguldījumi veikti un nodoti ekspluatācijā pilnībā)</t>
  </si>
  <si>
    <t>Modelī tiek pieņemts, ka projekta rezultāti iestājas tajā gadā, kad projekta ieguldījumi tiek pilnībā nodoti ekspluatācijā</t>
  </si>
  <si>
    <t>Projekta ieguldījumi</t>
  </si>
  <si>
    <t>Lūdzu ievadiet pieteicēja bilancē esošos pamatlīdzekļus par bilances vērtību</t>
  </si>
  <si>
    <t>Lūdzu ievadiet plānotās investīcijas attiecīgajos gados</t>
  </si>
  <si>
    <t>Lūdzu ievadiet spēkā esošos tarifus un nosacījumus nākotnes tarifa izmaiņām</t>
  </si>
  <si>
    <t>Esošie pamatlīdzekļi ūdensapgādes pakalpojumiem, uz gada sākumu</t>
  </si>
  <si>
    <t>Esošie pamatlīdzekļi kanalizācijas pakalpojumi, uz gada sākumu</t>
  </si>
  <si>
    <t>Esošo pamatlīdzekļu kopējais nolietojums</t>
  </si>
  <si>
    <t>Saņemamā aizdevuma apjoms</t>
  </si>
  <si>
    <t>Finansēšanas avoti un finanšu stabilitāte</t>
  </si>
  <si>
    <t>Vērtības</t>
  </si>
  <si>
    <t>Kopējie dati par projektu</t>
  </si>
  <si>
    <t>Projekta ietekme uz pakalpojumu saņēmējiem</t>
  </si>
  <si>
    <t>Projekta ietekme uz pieteicēja izmaksām</t>
  </si>
  <si>
    <t>Rādītāji</t>
  </si>
  <si>
    <t>Paskaidrojumi</t>
  </si>
  <si>
    <t>Projekta analīzē izmantotie laika rādītāji</t>
  </si>
  <si>
    <t>Citu ilgtermiņa saistību apjoms, uz gada beigām</t>
  </si>
  <si>
    <t>Ūdensapgādes pakalpojumi fiziskām pers.</t>
  </si>
  <si>
    <t>Kanalizācijas pakalpojumi fiziskām pers.</t>
  </si>
  <si>
    <t>Ūdensapgādes pakalpojumi jurid. pers.</t>
  </si>
  <si>
    <t>Kanalizācijas pakalpojumi jurid. pers.</t>
  </si>
  <si>
    <t>Tarifi</t>
  </si>
  <si>
    <t>pēc</t>
  </si>
  <si>
    <t>pirms</t>
  </si>
  <si>
    <t>Izmaksas ūdenim</t>
  </si>
  <si>
    <t>Nolietojums vecais</t>
  </si>
  <si>
    <t>Nolietojums jaunais</t>
  </si>
  <si>
    <t>Procentu maksājumi</t>
  </si>
  <si>
    <t>Kredīta atmaksa</t>
  </si>
  <si>
    <t>Ūdens patēriņš</t>
  </si>
  <si>
    <t>Izmaksas notekūdeņiem</t>
  </si>
  <si>
    <t>Notekūdeņu patēriņš</t>
  </si>
  <si>
    <t>Ūdens daļa investīcijās</t>
  </si>
  <si>
    <t>Notekūdeņu daļa investīcijās</t>
  </si>
  <si>
    <t>Atbalsta %</t>
  </si>
  <si>
    <t>Rentabilitāte</t>
  </si>
  <si>
    <t>Aprēķinātais pilnais tarifs</t>
  </si>
  <si>
    <t>Nosakāmais tarifs ūdens</t>
  </si>
  <si>
    <t>Nosakāmais tarifs kanalizācija</t>
  </si>
  <si>
    <t>Noteiktais tarifs</t>
  </si>
  <si>
    <t>Esošais nolietojums ūdenssaimniecībai</t>
  </si>
  <si>
    <t>Ūdens apjoms, m3/g</t>
  </si>
  <si>
    <t>Esošais nolietojums kanalizācijai</t>
  </si>
  <si>
    <t>Maksātspējas ierobežojums</t>
  </si>
  <si>
    <t>Ūdensapgāde</t>
  </si>
  <si>
    <t>Iekārtas</t>
  </si>
  <si>
    <t>Kanalizācija</t>
  </si>
  <si>
    <t>Attiecināmās</t>
  </si>
  <si>
    <t>Neattiecināmās</t>
  </si>
  <si>
    <t>Kopā investīcijas</t>
  </si>
  <si>
    <t>Kopā investīcijas ar PVN</t>
  </si>
  <si>
    <t>Neattiecināmās ar PVN</t>
  </si>
  <si>
    <t>uz pēdējo finanšu gadu</t>
  </si>
  <si>
    <t>ja nepieciešams iegūt uz kādu citu gadu - jāreizina ar diskonta faktoru kāpinātu gadu skaitā (piemēram projekta uzsākšanas gads mīnus pēdējais finanšu gads)</t>
  </si>
  <si>
    <t>Investīciju attiecināmība</t>
  </si>
  <si>
    <t xml:space="preserve">Aizņēmuma atmaksas periods (gadi) </t>
  </si>
  <si>
    <t>3.1. Pašu līdzekļi</t>
  </si>
  <si>
    <t>6.3. Aizņēmumi</t>
  </si>
  <si>
    <t>Finanšu avoti</t>
  </si>
  <si>
    <t>7.3.5. Projekta iesniedzēja ieguldījums</t>
  </si>
  <si>
    <t>Faktiskā ES atbalsta likme no attiecināmajām izmaksām</t>
  </si>
  <si>
    <t>Valsts dotācijas likme no attiecināmajām izmaksām</t>
  </si>
  <si>
    <t>Pašu ieguldījums, neskaitot PVN</t>
  </si>
  <si>
    <t>6.6. Aizņēmumu atmaksa</t>
  </si>
  <si>
    <t>6.5. Procentu maksājumi</t>
  </si>
  <si>
    <t>6.6. Aizņēmuma pamatsummas maksājumi</t>
  </si>
  <si>
    <t>Pamatsummas atmaksa</t>
  </si>
  <si>
    <t>Atbalsta sadale bilancei</t>
  </si>
  <si>
    <t>Ūdens apjoms mājsaimniecībās, m3/g</t>
  </si>
  <si>
    <t>Ūdens apjoms iestādēs, m3/g</t>
  </si>
  <si>
    <t>Ūdens apjoms uzņēmumos, m3/g</t>
  </si>
  <si>
    <t>Notekūdeņu apjoms, m3/g</t>
  </si>
  <si>
    <t>Notekūdeņu apjoms mājsaimniecībās, m3/g</t>
  </si>
  <si>
    <t>Notekūdeņu apjoms iestādēs, m3/g</t>
  </si>
  <si>
    <t>Notekūdeņu apjoms uzņēmumos, m3/g</t>
  </si>
  <si>
    <t>Projekta galvojums</t>
  </si>
  <si>
    <t>Projekta aizņēmums</t>
  </si>
  <si>
    <t>Aprēķinātais līdzfinansējums:</t>
  </si>
  <si>
    <t>Pieteicēja naudas plūsma  - EUR, faktiskajās cenās</t>
  </si>
  <si>
    <t>Projekta naudas plūsma - EUR, faktiskajās cenās</t>
  </si>
  <si>
    <t>Papildus finansējums kopā</t>
  </si>
  <si>
    <t>Papildus finansējums</t>
  </si>
  <si>
    <t>Kopējā BILANCE</t>
  </si>
  <si>
    <t>Pārējie neattiecināmie izdevumi</t>
  </si>
  <si>
    <t>Attiecināmie izdevumi kopā</t>
  </si>
  <si>
    <t>Attiecināmie izdevumi</t>
  </si>
  <si>
    <t>Kohēzijas fonds</t>
  </si>
  <si>
    <t>x</t>
  </si>
  <si>
    <t>Maksājumu pieprasījumi</t>
  </si>
  <si>
    <t>Dec</t>
  </si>
  <si>
    <t>Nov</t>
  </si>
  <si>
    <t>Okt</t>
  </si>
  <si>
    <t>Sep</t>
  </si>
  <si>
    <t>Aug</t>
  </si>
  <si>
    <t>Jūl</t>
  </si>
  <si>
    <t>Jūn</t>
  </si>
  <si>
    <t>Mai</t>
  </si>
  <si>
    <t>Apr</t>
  </si>
  <si>
    <t>Mar</t>
  </si>
  <si>
    <t>Feb</t>
  </si>
  <si>
    <t>Jan</t>
  </si>
  <si>
    <t>Budžeta  struktūra</t>
  </si>
  <si>
    <t>KOPĀ</t>
  </si>
  <si>
    <t>Grozītā budžeta struktūra, %</t>
  </si>
  <si>
    <t>Grozītais budžets, tūkst. EUR</t>
  </si>
  <si>
    <t>Budžeta struktūra pēc līgumu noslēgšanas  , %</t>
  </si>
  <si>
    <t>Budžets pēc līgumu noslēgšanas, tūkst. EUR</t>
  </si>
  <si>
    <t>Projekta ietvaros pieslēgto iedzīvotaju skaits</t>
  </si>
  <si>
    <t>Kopā pieslēgto iedzīvotāju īpatsvars</t>
  </si>
  <si>
    <t>Tarifu pieļaujamais īpatsvars mājsaimniecības ienākumos pēc projekta realizācijas</t>
  </si>
  <si>
    <t>Ja plānots saņemt aizdevumu, lūdzu norādiet, kādā apjomā plānots ņemt aizņēmumu</t>
  </si>
  <si>
    <t>Naudas atlikums</t>
  </si>
  <si>
    <t>KAIT</t>
  </si>
  <si>
    <t>Kanalizācijas ārējie inženiertīkli - KAIT</t>
  </si>
  <si>
    <t>Ūdenssaimniecības ārējie inženiertīkli - UAIT</t>
  </si>
  <si>
    <t>Investīcijas UAIT</t>
  </si>
  <si>
    <t>Investicijas KAIT</t>
  </si>
  <si>
    <t>Publicitate</t>
  </si>
  <si>
    <t>Kopā attiecināmie</t>
  </si>
  <si>
    <t>Kopā neattiecināmie, tsk PVN</t>
  </si>
  <si>
    <t>Faktiskie tarifi pēc 2007.-2013. gada plānošanas periodā pēdējā īstenotā projekta</t>
  </si>
  <si>
    <t>Faktiskajā tarifā iekļautais projektu investīciju nolietojuma %, pēc 2007.-2013. gada plānošanas periodā pēdējā īstenotā projekta</t>
  </si>
  <si>
    <t>Pašvaldības aizņēmumu saraksts</t>
  </si>
  <si>
    <t>Lūdzu ievadīt pašvaldibas aizņēmumu un galvojumus norādot saistības un to apjomu pa gadiem. Nepieciešamības gadījumā ievietojiet rindas.</t>
  </si>
  <si>
    <t>Iepriekšējo projektu ietekme</t>
  </si>
  <si>
    <t>Kopējais iedzīvotāju skaits kanalizācijas pakalpojumu sniegšanas zonā</t>
  </si>
  <si>
    <t>Kopā papildus pieslēgto iedzīvotaju skaits</t>
  </si>
  <si>
    <t xml:space="preserve">    Citas mainīgās izmaksas</t>
  </si>
  <si>
    <t>Pašvaldības budžeta ieņēmumi</t>
  </si>
  <si>
    <t>Pašvaldības ilgtermiņa saistības, EUR</t>
  </si>
  <si>
    <t>Kopā pašvaldības ilgtermiņa saistības</t>
  </si>
  <si>
    <t>Vidējais tarifs</t>
  </si>
  <si>
    <t>Citi finanšu avoti</t>
  </si>
  <si>
    <t>Pašvaldības galvojumu saraksts</t>
  </si>
  <si>
    <t>Pašvaldības ilgtermiņa saistību apjoms, neskaitot šo projektu, uz gada beigām</t>
  </si>
  <si>
    <t>attiecin</t>
  </si>
  <si>
    <t>neattiecin</t>
  </si>
  <si>
    <t>Pašvaldības aizņēmums, ko plānots ieguldīt piederošā kapitalsabiedrībā</t>
  </si>
  <si>
    <t>Attiecināmie izdevumi, pierēķinot inflāciju</t>
  </si>
  <si>
    <t>Neattiecināmie izdevumi, pierēķinot inflāciju</t>
  </si>
  <si>
    <t>Komercsabiedrībā ieguldāmā saņemamā aizdevuma apjoms</t>
  </si>
  <si>
    <t>Atlikums</t>
  </si>
  <si>
    <t>Valsts dotācija, no attiecināmajām izmaksām</t>
  </si>
  <si>
    <t>2007.-2013. gada plānošanas periodā plānotais pieslēgto iedzīvotāju skaits ūdensapgādes sistēmai</t>
  </si>
  <si>
    <t>2007.-2013. gada plānošanas periodā faktiskais pieslēgto iedzīvotāju skaits ūdensapgādes sistēmai</t>
  </si>
  <si>
    <t>2007.-2013. gada plānošanas periodā plānotais pieslēgto iedzīvotāju skaits kanalizācijas sistēmai</t>
  </si>
  <si>
    <t>2007.-2013. gada plānošanas periodā faktiskais pieslēgto iedzīvotāju skaits kanalizācijas sistēmai</t>
  </si>
  <si>
    <t>6.1. Pieteicēja aizņēmums attiecināmo un neattiecināmo izmaksu segšanai</t>
  </si>
  <si>
    <t>Pašvaldības pašu līdzekļi, ko plānots ieguldīt piederošā kapitalsabiedrībā</t>
  </si>
  <si>
    <t>9.5. Citi ieņēmumi (ES finansējums)</t>
  </si>
  <si>
    <t>10.5. Nemateriālie ieguldījumi un citas uzkrātās ražošanas izmaksas</t>
  </si>
  <si>
    <t>Jaunu KAIT būvdarbu izmaksas (MK noteikumu 25.2.punkts)</t>
  </si>
  <si>
    <t>Esošo KAIT pārbūves un atjaunošanas izmaksas (MK noteikumu 25.3.punkts)</t>
  </si>
  <si>
    <t>KAIT tehnoloģisko iekārtu piegādes līgumu izmaksas (MK noteikumu 26.4.punkts)</t>
  </si>
  <si>
    <t>UAIT tehnoloģisko iekārtu piegādes līgumu izmaksas (MK noteikumu 26.4.punkts)</t>
  </si>
  <si>
    <t>UAIT būvprojekta izstrādes, būvekspertīzes, autor- un būvuzraudzības izmaksas (MK noteikumu 26.3.punkts)</t>
  </si>
  <si>
    <t>Obligāto publicitātes pasākumu izmaksas (MK noteikumu 25.4.punkts)</t>
  </si>
  <si>
    <t>Izmaksas par papildu publicitātes pasākumiem (MK noteikumu 26.5.punkts)</t>
  </si>
  <si>
    <t>PVN (ja nav atgūstams) (MK noteikumu 27.punkts)</t>
  </si>
  <si>
    <t>PVN, kas atgūstams no valsts (MK noteikumu 27.punkts)</t>
  </si>
  <si>
    <t>Esošo KAIT pārbūves un atjaunošanas izmaksas līdz 5% no KAIT izbūves attiecināmajām izmaksām (MK noteikumu 25.3.punkts)</t>
  </si>
  <si>
    <t>Esošo KAIT pārbūves un atjaunošanas izmaksas virs 5% no KAIT izbūves attiecināmajām izmaksām (MK noteikumu 25.3.punkts)</t>
  </si>
  <si>
    <t>Apstiprinātais budžets, EUR</t>
  </si>
  <si>
    <t>Aprēķinu lapa</t>
  </si>
  <si>
    <t>Projekta finanšu avotu aprēķina lapa</t>
  </si>
  <si>
    <t>Saimnieciskās darbības naudas plūsma</t>
  </si>
  <si>
    <t>Projekta iesniedzēja un projekta naudas plūsmas aprēķins</t>
  </si>
  <si>
    <t>Pašvaldības kredītsaistību apjoma pret pamatbudžeta ieņēmumiem aprēķins</t>
  </si>
  <si>
    <t>Iedzīvotāju maksātspējas rādītāja aprēķins</t>
  </si>
  <si>
    <t>Makroekonomiskie pieņēmumi projektam</t>
  </si>
  <si>
    <t>Visās izmaksu - ieguvumu analīzes izklājlapās, kas iekrāsotas dzeltenē krāsā, dati jāievada tikai dzeltenajās šūnās! Pelēkajās un baltajās šūnās ir formulas, kas ir aizsargātas no to koriģēšanas.</t>
  </si>
  <si>
    <t>Projekta finanšu analīzes veikšanai nepieciešamo datu ievadīšana notiek šādās izklājlapās (iekrāsotas dzeltenā krāsā) "Datu ievade", "Projekta naudas plusma" un "Kopējie pieņēmumi"! Pārējās izklājlapas (iekrāsotas zaļā krāsā) nav nepieciešams aizpildīt, jo satur aprēķinus un to rezultātus.</t>
  </si>
  <si>
    <t>Projekta naudas plūsmas prognozes aprēķina lapa</t>
  </si>
  <si>
    <t>PVN (daļa, kas nav atgūstama no valsts) (MK noteikumu 27.punkts)</t>
  </si>
  <si>
    <t>Jaunu UAIT būvdarbu un esošo UAIT pārbūves izmaksas (MK noteikumu 26.3.punkts)</t>
  </si>
  <si>
    <t>UAIT būvniecība (MK noteikumu 26.3.punkts)</t>
  </si>
  <si>
    <t>Projekta iesnieguma pamatojošās dokumentācijas izstrādes izmaksas (MK noteikumu 26.1.punkts)</t>
  </si>
  <si>
    <t>Izmantot pašvaldības/domes datus</t>
  </si>
  <si>
    <t>Debitoru parādu īpatsvars % sākot ar projekta īstenošanu</t>
  </si>
  <si>
    <t>% jauno KAIT ieguldījumu nolietojuma apmērs, ko iekļauj tarifā pēc to nodošanas ekspluatācijā</t>
  </si>
  <si>
    <t>Aizņēmuma likme</t>
  </si>
  <si>
    <t xml:space="preserve">Maksimālais pieļaujamais KF finansējums saskaņā ar MK not. Nr. 403 </t>
  </si>
  <si>
    <t>Plānotais pieteicēja aizņēmums</t>
  </si>
  <si>
    <t>Vai pašvaldība galvo kapitālsabiedrības aizņēmumu?</t>
  </si>
  <si>
    <t>Pašvaldības aizņēmuma likme</t>
  </si>
  <si>
    <t xml:space="preserve">Pašvaldības  aizņēmuma atmaksas periods (gadi) </t>
  </si>
  <si>
    <t>Pašvaldības ilgtermiņa saistību apjoms pret pašvaldības budžeta ieņēmumiem</t>
  </si>
  <si>
    <t>KAIT izbūve un rekonstrukcija</t>
  </si>
  <si>
    <t>Autoruzraudzība un būvuzraudzība</t>
  </si>
  <si>
    <t>Obligātie publicitātes pasākumi</t>
  </si>
  <si>
    <t>Pieejamais finansējums atbalstāmo darbību segšanai</t>
  </si>
  <si>
    <t>Pieejamais finansējums atbalstāmo darbību segšanai kopā</t>
  </si>
  <si>
    <t>Atbalstāmo darbību izdevumu bilance</t>
  </si>
  <si>
    <t>Apstiprinātā budžeta  struktūra, %</t>
  </si>
  <si>
    <t>PVN (ja nav atgūstams)</t>
  </si>
  <si>
    <t>PVN, kas atgūstams no valsts</t>
  </si>
  <si>
    <t>neattiecināmo izdevumu segšanai*</t>
  </si>
  <si>
    <t>attiecināmo izdevumu segšanai*</t>
  </si>
  <si>
    <t>*Piezīmes / paskaidrojumi:</t>
  </si>
  <si>
    <t>rezervuāri un tilpnes</t>
  </si>
  <si>
    <t>1. Investīciju izmaksas un pamatlīdzekļi  (bez PVN)  - EUR, faktiskajās cenās</t>
  </si>
  <si>
    <t>Atlases kritērija nosaukums</t>
  </si>
  <si>
    <t>Kritērija rezultāts</t>
  </si>
  <si>
    <t>Pozitīva saimnieciskās darbības naudas plūsma ieviešot projektu</t>
  </si>
  <si>
    <t>Pašvaldības kredītsaistības nepārsniedz 20% no tās saimnieciskās darbības ieņēmumiem</t>
  </si>
  <si>
    <t>Ūdenssaimniecības kopējais tarifs (ieviešot projektu) nepārsniedz 4% no mājsaimniecības vidējiem ikmēneša ienākumiem</t>
  </si>
  <si>
    <t>Aprēķinātais izmaksu atdeves novērtējuma rādītājs 2022.gadā</t>
  </si>
  <si>
    <t xml:space="preserve">Pašvaldības ilgtermiņa saistību apjoms </t>
  </si>
  <si>
    <t>Visaugstākais tarifs % (ieviešot projektu) attiecībā pret mājsaimniecības vidējiem ikmēneša ienākumiem</t>
  </si>
  <si>
    <t>Vismazākais tarifs % (ieviešot projektu) attiecībā pret mājsaimniecības vidējiem ikmēneša ienākumiem</t>
  </si>
  <si>
    <t>Papildus aprēķinātā statistika</t>
  </si>
  <si>
    <t>Vērtība</t>
  </si>
  <si>
    <t>Ūdensapgādes pakalpojumu tarifā iekļautais nolietojums projekta īstenošanas laikā</t>
  </si>
  <si>
    <t>Kanalizācijas pakalpojumu tarifā iekļautais nolietojums projekta īstenošanas laikā</t>
  </si>
  <si>
    <t>Atlases kritēriju pārbaudes lapa</t>
  </si>
  <si>
    <t>%</t>
  </si>
  <si>
    <t>Gads</t>
  </si>
  <si>
    <t>Projekta ekonomiskā analīze</t>
  </si>
  <si>
    <t>GADI</t>
  </si>
  <si>
    <t>Diskontētās ekspluatācijas izmaksas</t>
  </si>
  <si>
    <t>Diskontētie ieguldījumi</t>
  </si>
  <si>
    <t>Diskontētie kopējās izmaksas</t>
  </si>
  <si>
    <t>Diskontētie kopējie ieņēmumi (Ieguvumu ENPV/C)</t>
  </si>
  <si>
    <t xml:space="preserve"> Kopā ārējie ieguvumi</t>
  </si>
  <si>
    <t>Saimnieciskās pamatdarbības ieņēmumi</t>
  </si>
  <si>
    <t xml:space="preserve"> 1. Kopā ieņēmumi</t>
  </si>
  <si>
    <t>1.2. Sabiedrības veselības uzlabošana</t>
  </si>
  <si>
    <t>2.1.Zemes zaudēto iespēju izmaksas</t>
  </si>
  <si>
    <t>Saimnieciskās pamatdarbības izdevumi</t>
  </si>
  <si>
    <t>Ieguldījumu izmaksu kopsumma atbalstāmajās darbībās</t>
  </si>
  <si>
    <t>2. Kopā izdevumi</t>
  </si>
  <si>
    <t>3. Neto naudas plūsma</t>
  </si>
  <si>
    <t>Ekonomiskā ienesīguma norma (ERR)</t>
  </si>
  <si>
    <t xml:space="preserve"> Kopā ārējie zaudējumi</t>
  </si>
  <si>
    <t>1.1. Vides piesārņojuma samazināšanās</t>
  </si>
  <si>
    <t>1.3. Ieguvumi no ekonomiski aktīvo iedzīvotāju iekļaušanās darba tirgū - jaunas darba vietas</t>
  </si>
  <si>
    <t>2.2.Papildus izmaksas jeb zaudējumi uzņēmējiem projekta ieviešanas laikā</t>
  </si>
  <si>
    <t>1.4. Citi ieguvumi</t>
  </si>
  <si>
    <t>1.5. Citi ieguvumi</t>
  </si>
  <si>
    <t>1.6. Citi ieguvumi</t>
  </si>
  <si>
    <t>1.7. Citi ieguvumi</t>
  </si>
  <si>
    <t>2.3. Trokšņu līmeņa palielināšanās un ar būvniecības procesa norisi saistītie zaudējumi projekta ieviešanas laikā  vietējiem iedzīvotājiem</t>
  </si>
  <si>
    <t>Ieguvumu un zaudējumu samērs (B/C)</t>
  </si>
  <si>
    <t>2.4.Citi zaudējumi</t>
  </si>
  <si>
    <t>2.5.Citas zaudējumi</t>
  </si>
  <si>
    <t>Paskaidrojumi/pieņēmumi izmaksu - ieguvumu analīzes aprēķiniem:</t>
  </si>
  <si>
    <t>Esošo pamatlīdzekļu nolietojums kanalizācijas pakalpojumiem</t>
  </si>
  <si>
    <t>% jauno UAIT (ja projektā plānotas šādas darbības) ieguldījumu nolietojuma apmērs, ko iekļauj tarifā pēc to nodošanas ekspluatācijā</t>
  </si>
  <si>
    <t>Pašvaldības aizņēmums, ko plānots ieguldīt pašvaldībai piederošā kapitalsabiedrībā</t>
  </si>
  <si>
    <t>Projekta iesniedzēja  galvojumu apjoms, uz gada beigām</t>
  </si>
  <si>
    <t>Projekta iesniedzēja  pamatkapitāls gada sākumā</t>
  </si>
  <si>
    <t>Projekta iesniedzēja  nesadalītā peļņa gada sākumā</t>
  </si>
  <si>
    <t>Projekta iesniedzēja  naudas līdzekļu atlikums gada sākumā</t>
  </si>
  <si>
    <t>2007.-2013. gada plānošanas periodā pēdējā īstenotajā projektā (ja tāds ir īstenots) aprēķinātie tarifi</t>
  </si>
  <si>
    <t>KAIT būvdarbu projektēšanas (ieskaitot būvprojekta ekspertīzes izmaksas),  autoruzraudzības un būvuzraudzības izmaksas (MK noteikumu 25.1.punkts)</t>
  </si>
  <si>
    <t>KAIT būvdarbu projektēšanas (ieskaitot būvprojekta ekspertīzes izmaksas),  autoruzraudzības un būvuzraudzības izmaksas līdz 7% no jaunu KAIT būvniecības un esošo KAIT pārbūves attiecināmājām izmaksām kopā (MK noteikumu 25.1.punkts)</t>
  </si>
  <si>
    <t>KAIT būvdarbu projektēšanas (ieskaitot būvprojekta ekspertīzes izmaksas),  autoruzraudzības un būvuzraudzības izmaksas virs 7% no jaunu KAIT būvniecības un esošo KAIT pārbūves attiecināmajām izmaksām kopā (MK noteikumu 25.1. un 25.3.punkts)</t>
  </si>
  <si>
    <t>Makroekonomiskos rādītājus izmantot saskaņā ar LR Finanšu ministrijas mājas lapā publicētajiem http://fm.gov.lv/lv/sadalas/ppp/tiesibu_akti/makroekonomiskie_pienemumi_un_prognozes/</t>
  </si>
  <si>
    <t xml:space="preserve">Ieguldījumu sākuma gads (projekta pirmais īstenošanas gads) </t>
  </si>
  <si>
    <t>Starpība</t>
  </si>
  <si>
    <t>9.3. Citi ieņēmumi (ES finansējums)</t>
  </si>
  <si>
    <t>Naudas plūsmas ENPV/C</t>
  </si>
  <si>
    <t>Projekta ieguldījumu sadalījums atbilstoši noslēgtajiem līgumiem</t>
  </si>
  <si>
    <t>Attiecināmo izmaksu ierobežojumi atbilstoši MK noteikumiem</t>
  </si>
  <si>
    <t>Līguma Nr.</t>
  </si>
  <si>
    <t>Jaunu KAIT būvdarbu izmaksa</t>
  </si>
  <si>
    <t>Esošo KAIT pārbūves un atjaunošanas izmaksas</t>
  </si>
  <si>
    <t>KAIT būvdarbu projektēšanas (ieskaitot būvprojekta ekspertīzes izmaksas),  autoruzraudzības un būvuzraudzības izmaksas</t>
  </si>
  <si>
    <t>KAIT tehnoloģisko iekārtu piegādes līgumu izmaksas</t>
  </si>
  <si>
    <t>Esošo KAIT pārbūves un atjaunošanas izmaksas līdz 5% no KAIT izbūves attiecināmajām izmaksām</t>
  </si>
  <si>
    <t>KAIT būvdarbu projektēšanas (ieskaitot būvprojekta ekspertīzes izmaksas),  autoruzraudzības un būvuzraudzības izmaksas līdz 7% no jaunu KAIT būvniecības un esošo KAIT pārbūves attiecināmajām izmaksām kopā</t>
  </si>
  <si>
    <t xml:space="preserve">    Atkārtotās investīcijas pamatlīdzekļos:</t>
  </si>
  <si>
    <t>ēkās un būvēs</t>
  </si>
  <si>
    <t>iekārtās un mašīnās</t>
  </si>
  <si>
    <t>nemateriālajos ieguldījumos</t>
  </si>
  <si>
    <t xml:space="preserve">    Citas mainīgās izmaksas </t>
  </si>
  <si>
    <t>Atkārtoto investīciju izmaksu nolietojuma aprēķins  - EUR, faktiskajās cenās</t>
  </si>
  <si>
    <t>2.6. Citas mainīgās izmaksas</t>
  </si>
  <si>
    <t>2.12. Citas mainīgās izmaksas</t>
  </si>
  <si>
    <t>Projekta iesniedzēja  peļņa no citiem sniegtajiem pakalpojumiem</t>
  </si>
  <si>
    <t>9.3. Peļņa no citiem pakalpojumiem</t>
  </si>
  <si>
    <t>Maksimālais pašvaldības ilgtermiņa saistību apjoms attiecībā pret kārtējā gada ieņēmumiem gadā, %</t>
  </si>
  <si>
    <t>Pašvaldības ieguldījums projekta īstenošanā</t>
  </si>
  <si>
    <t>JUTĪGUMA ANALĪZE INVESTĪCIJU NAUDAS PLŪSMAI</t>
  </si>
  <si>
    <t xml:space="preserve">Naudas plūsmas pozīcijas </t>
  </si>
  <si>
    <t>1.</t>
  </si>
  <si>
    <t>Projekta ieņēmumi</t>
  </si>
  <si>
    <t>EUR</t>
  </si>
  <si>
    <t>2.</t>
  </si>
  <si>
    <t>Projekta darbības izmaksas</t>
  </si>
  <si>
    <t>5.</t>
  </si>
  <si>
    <t>Neto naudas plūsma</t>
  </si>
  <si>
    <t>Reālā finansiālā diskonta likme</t>
  </si>
  <si>
    <t>Pieņēmumu definēšana finanšu analīzes veikšanai</t>
  </si>
  <si>
    <t>Nediskontēti</t>
  </si>
  <si>
    <t>Diskontēti</t>
  </si>
  <si>
    <t>Investīciju izmaksas</t>
  </si>
  <si>
    <t>Projekta atlikusī vērtība</t>
  </si>
  <si>
    <t>Rādītāju aprēķināšana</t>
  </si>
  <si>
    <t>Vērtība bez mainīgā izmaiņām</t>
  </si>
  <si>
    <t>Vērtība pēc mainīgā izmaiņām</t>
  </si>
  <si>
    <t>Novirze</t>
  </si>
  <si>
    <t>Finansiālais investīciju neto tagadnes ienesīgums (FNPV/C)</t>
  </si>
  <si>
    <t>Ieņēmumi no ūdenspagādes pakalpojumiem</t>
  </si>
  <si>
    <t>Ieņēmumi no kanalizācijas pakalpojumiem</t>
  </si>
  <si>
    <t>1.1.</t>
  </si>
  <si>
    <t>1.2.</t>
  </si>
  <si>
    <t>Projekta investīcijas</t>
  </si>
  <si>
    <t>Ūdensapgādes pakalpojumu mainīgās izmaksas</t>
  </si>
  <si>
    <t>Ūdensapgādes pakalpojumu fiksētās izmaksas</t>
  </si>
  <si>
    <t>Kanalizācijas pakalpojumu fiksētās izmaksas</t>
  </si>
  <si>
    <t>Kanalizācijas pakalpojumu mainīgās izmaksas</t>
  </si>
  <si>
    <t>Investīcijas attiecināmajās izmaksās</t>
  </si>
  <si>
    <t>Investīcijas neattiecināmajās izmaksās</t>
  </si>
  <si>
    <t>Investīciju naudas plūsma - EUR, faktiskajās cenās</t>
  </si>
  <si>
    <t>Ja šūnā H43 neaprēķina rezultātu, tad šūnā K44 norādiet aptuveno rezultātu prognozi, līdz aprēķins tiks veikts korekts:</t>
  </si>
  <si>
    <t>Izmaksas jāievada atbilstoši tarifa aprēķinam.Tiek pieņemts, ka izmaksas situācijā bez projekta paliktu nemainīgas.</t>
  </si>
  <si>
    <t>Investīciju izdevumi, 2019. gada cenās</t>
  </si>
  <si>
    <t>2019 gada bilances atšķirība:</t>
  </si>
  <si>
    <t>Attiecināmie ieguldījumi atbilstoši līgumiem 2019.gada cenās</t>
  </si>
  <si>
    <t>Lūdzu ievadiet pieteicēja pakalpojumu sniegšanas izmaksas pirms projekta un izmaiņas pēc projekta (projekta rezultātā). Šī modeļa izpratnē "situācija pirms projekta" ir izdevumi 2019.gadā.</t>
  </si>
  <si>
    <t xml:space="preserve">Ievadiet gadu, kad plānojat uzsākt ieguldījumus projekta ietvaros. </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</si>
</sst>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Ls&quot;\ #,##0.00;[Red]\-&quot;Ls&quot;\ #,##0.00"/>
    <numFmt numFmtId="165" formatCode="0.0%"/>
    <numFmt numFmtId="166" formatCode="#,##0.0"/>
    <numFmt numFmtId="167" formatCode="#,##0\ ;[Red]\-#,##0\ "/>
    <numFmt numFmtId="168" formatCode="0.000000%"/>
    <numFmt numFmtId="169" formatCode="#,##0.00000000"/>
    <numFmt numFmtId="170" formatCode="_-* #,##0_-;\-* #,##0_-;_-* &quot;-&quot;??_-;_-@_-"/>
    <numFmt numFmtId="171" formatCode="#,##0.000"/>
    <numFmt numFmtId="172" formatCode="_-* #,##0.000_-;\-* #,##0.000_-;_-* &quot;-&quot;??_-;_-@_-"/>
    <numFmt numFmtId="173" formatCode="0.000000"/>
    <numFmt numFmtId="174" formatCode="#,##0.0000000000000000"/>
    <numFmt numFmtId="175" formatCode="#,##0.00\ &quot;Ls&quot;"/>
    <numFmt numFmtId="176" formatCode="0.00000000%"/>
    <numFmt numFmtId="177" formatCode="mmm"/>
    <numFmt numFmtId="178" formatCode="#,##0.00_ ;\-#,##0.00\ "/>
    <numFmt numFmtId="179" formatCode="#,##0.0000"/>
    <numFmt numFmtId="180" formatCode="#,##0.00_ ;[Red]\-#,##0.00\ "/>
    <numFmt numFmtId="181" formatCode="dd\ mmm\ yy"/>
    <numFmt numFmtId="182" formatCode="General&quot;.&quot;"/>
    <numFmt numFmtId="183" formatCode="\+0.00%;\-0.00%;0%"/>
    <numFmt numFmtId="184" formatCode="#,##0;\(#,##0\);&quot;0&quot;"/>
    <numFmt numFmtId="185" formatCode="#,##0.00;\(#,##0.00\);&quot;0&quot;"/>
  </numFmts>
  <fonts count="85" x14ac:knownFonts="1">
    <font>
      <sz val="10"/>
      <name val="Arial"/>
      <family val="2"/>
    </font>
    <font>
      <sz val="11"/>
      <color indexed="8"/>
      <name val="Calibri"/>
      <family val="2"/>
      <charset val="186"/>
    </font>
    <font>
      <sz val="8"/>
      <name val="Arial"/>
      <family val="2"/>
    </font>
    <font>
      <sz val="11"/>
      <color indexed="20"/>
      <name val="Calibri"/>
      <family val="2"/>
    </font>
    <font>
      <sz val="11"/>
      <color indexed="52"/>
      <name val="Calibri"/>
      <family val="2"/>
    </font>
    <font>
      <b/>
      <sz val="15"/>
      <name val="Times New Roman"/>
      <family val="1"/>
    </font>
    <font>
      <sz val="13"/>
      <name val="Times New Roman"/>
      <family val="1"/>
    </font>
    <font>
      <b/>
      <sz val="11"/>
      <name val="Times New Roman"/>
      <family val="1"/>
    </font>
    <font>
      <b/>
      <sz val="11"/>
      <color indexed="56"/>
      <name val="Calibri"/>
      <family val="2"/>
    </font>
    <font>
      <sz val="11"/>
      <color indexed="60"/>
      <name val="Calibri"/>
      <family val="2"/>
    </font>
    <font>
      <sz val="11"/>
      <color indexed="8"/>
      <name val="Calibri"/>
      <family val="2"/>
    </font>
    <font>
      <sz val="10"/>
      <name val="Garamond"/>
      <family val="1"/>
    </font>
    <font>
      <b/>
      <sz val="11"/>
      <color indexed="63"/>
      <name val="Calibri"/>
      <family val="2"/>
    </font>
    <font>
      <b/>
      <sz val="18"/>
      <color indexed="56"/>
      <name val="Cambria"/>
      <family val="2"/>
    </font>
    <font>
      <b/>
      <sz val="11"/>
      <color indexed="8"/>
      <name val="Calibri"/>
      <family val="2"/>
    </font>
    <font>
      <sz val="10"/>
      <name val="Times New Roman"/>
      <family val="1"/>
    </font>
    <font>
      <b/>
      <sz val="10"/>
      <name val="Times New Roman"/>
      <family val="1"/>
    </font>
    <font>
      <b/>
      <sz val="12"/>
      <name val="Times New Roman"/>
      <family val="1"/>
    </font>
    <font>
      <sz val="9"/>
      <name val="Arial"/>
      <family val="2"/>
    </font>
    <font>
      <sz val="9"/>
      <name val="Times New Roman"/>
      <family val="1"/>
    </font>
    <font>
      <sz val="10"/>
      <name val="Arial"/>
      <family val="2"/>
    </font>
    <font>
      <sz val="10"/>
      <name val="Times New Roman"/>
      <family val="1"/>
      <charset val="186"/>
    </font>
    <font>
      <b/>
      <sz val="10"/>
      <name val="Times New Roman"/>
      <family val="1"/>
      <charset val="186"/>
    </font>
    <font>
      <sz val="10"/>
      <name val="Arial"/>
      <family val="2"/>
      <charset val="186"/>
    </font>
    <font>
      <b/>
      <sz val="8"/>
      <name val="Arial"/>
      <family val="2"/>
      <charset val="186"/>
    </font>
    <font>
      <b/>
      <sz val="10"/>
      <name val="Arial"/>
      <family val="2"/>
      <charset val="186"/>
    </font>
    <font>
      <sz val="8"/>
      <name val="Arial"/>
      <family val="2"/>
      <charset val="186"/>
    </font>
    <font>
      <b/>
      <sz val="14"/>
      <name val="Arial"/>
      <family val="2"/>
      <charset val="186"/>
    </font>
    <font>
      <b/>
      <sz val="11"/>
      <name val="Arial"/>
      <family val="2"/>
      <charset val="186"/>
    </font>
    <font>
      <i/>
      <sz val="10"/>
      <name val="Arial"/>
      <family val="2"/>
      <charset val="186"/>
    </font>
    <font>
      <b/>
      <i/>
      <sz val="10"/>
      <name val="Arial"/>
      <family val="2"/>
      <charset val="186"/>
    </font>
    <font>
      <b/>
      <sz val="12"/>
      <name val="Arial"/>
      <family val="2"/>
      <charset val="186"/>
    </font>
    <font>
      <b/>
      <i/>
      <sz val="10"/>
      <color indexed="12"/>
      <name val="Arial"/>
      <family val="2"/>
      <charset val="186"/>
    </font>
    <font>
      <sz val="10"/>
      <color indexed="8"/>
      <name val="Arial"/>
      <family val="2"/>
      <charset val="186"/>
    </font>
    <font>
      <b/>
      <sz val="10"/>
      <color indexed="8"/>
      <name val="Arial"/>
      <family val="2"/>
      <charset val="186"/>
    </font>
    <font>
      <sz val="8"/>
      <color indexed="10"/>
      <name val="Arial"/>
      <family val="2"/>
      <charset val="186"/>
    </font>
    <font>
      <sz val="13"/>
      <name val="Arial"/>
      <family val="2"/>
      <charset val="186"/>
    </font>
    <font>
      <sz val="10"/>
      <color indexed="12"/>
      <name val="Arial"/>
      <family val="2"/>
      <charset val="186"/>
    </font>
    <font>
      <sz val="10"/>
      <color indexed="55"/>
      <name val="Arial"/>
      <family val="2"/>
      <charset val="186"/>
    </font>
    <font>
      <sz val="9"/>
      <name val="Arial"/>
      <family val="2"/>
      <charset val="186"/>
    </font>
    <font>
      <b/>
      <sz val="14"/>
      <color indexed="8"/>
      <name val="Arial"/>
      <family val="2"/>
      <charset val="186"/>
    </font>
    <font>
      <sz val="8"/>
      <color indexed="8"/>
      <name val="Arial"/>
      <family val="2"/>
      <charset val="186"/>
    </font>
    <font>
      <b/>
      <i/>
      <sz val="8"/>
      <name val="Arial"/>
      <family val="2"/>
      <charset val="186"/>
    </font>
    <font>
      <i/>
      <sz val="8"/>
      <name val="Arial"/>
      <family val="2"/>
      <charset val="186"/>
    </font>
    <font>
      <sz val="12"/>
      <name val="Times New Roman"/>
      <family val="1"/>
      <charset val="186"/>
    </font>
    <font>
      <b/>
      <sz val="12"/>
      <name val="Times New Roman"/>
      <family val="1"/>
      <charset val="186"/>
    </font>
    <font>
      <i/>
      <sz val="12"/>
      <name val="Times New Roman"/>
      <family val="1"/>
      <charset val="186"/>
    </font>
    <font>
      <sz val="10"/>
      <name val="Helv"/>
    </font>
    <font>
      <b/>
      <i/>
      <sz val="10"/>
      <name val="Times New Roman"/>
      <family val="1"/>
      <charset val="186"/>
    </font>
    <font>
      <i/>
      <sz val="10"/>
      <name val="Times New Roman"/>
      <family val="1"/>
      <charset val="186"/>
    </font>
    <font>
      <i/>
      <sz val="10"/>
      <color indexed="20"/>
      <name val="Times New Roman"/>
      <family val="1"/>
      <charset val="186"/>
    </font>
    <font>
      <b/>
      <i/>
      <sz val="10"/>
      <color indexed="20"/>
      <name val="Times New Roman"/>
      <family val="1"/>
      <charset val="186"/>
    </font>
    <font>
      <sz val="10"/>
      <name val="Times New Roman"/>
      <family val="1"/>
    </font>
    <font>
      <sz val="10"/>
      <color indexed="12"/>
      <name val="Times New Roman"/>
      <family val="1"/>
      <charset val="186"/>
    </font>
    <font>
      <sz val="10"/>
      <color indexed="16"/>
      <name val="Times New Roman"/>
      <family val="1"/>
      <charset val="186"/>
    </font>
    <font>
      <sz val="10"/>
      <color indexed="48"/>
      <name val="Times New Roman"/>
      <family val="1"/>
      <charset val="186"/>
    </font>
    <font>
      <sz val="8"/>
      <name val="Times New Roman"/>
      <family val="1"/>
      <charset val="186"/>
    </font>
    <font>
      <sz val="14"/>
      <name val="Times New Roman"/>
      <family val="1"/>
      <charset val="186"/>
    </font>
    <font>
      <b/>
      <sz val="14"/>
      <name val="Times New Roman"/>
      <family val="1"/>
      <charset val="186"/>
    </font>
    <font>
      <i/>
      <sz val="8"/>
      <color theme="0" tint="-0.499984740745262"/>
      <name val="Arial"/>
      <family val="2"/>
      <charset val="186"/>
    </font>
    <font>
      <b/>
      <sz val="11"/>
      <name val="Times New Roman"/>
      <family val="1"/>
      <charset val="186"/>
    </font>
    <font>
      <b/>
      <sz val="16"/>
      <name val="Times New Roman"/>
      <family val="1"/>
      <charset val="186"/>
    </font>
    <font>
      <i/>
      <sz val="12"/>
      <color indexed="10"/>
      <name val="Times New Roman"/>
      <family val="1"/>
      <charset val="186"/>
    </font>
    <font>
      <i/>
      <sz val="10"/>
      <color rgb="FFFF0000"/>
      <name val="Times New Roman"/>
      <family val="1"/>
      <charset val="186"/>
    </font>
    <font>
      <sz val="10"/>
      <color theme="0" tint="-0.34998626667073579"/>
      <name val="Times New Roman"/>
      <family val="1"/>
      <charset val="186"/>
    </font>
    <font>
      <sz val="10"/>
      <color indexed="8"/>
      <name val="Times New Roman"/>
      <family val="1"/>
      <charset val="186"/>
    </font>
    <font>
      <i/>
      <sz val="10"/>
      <color indexed="8"/>
      <name val="Times New Roman"/>
      <family val="1"/>
      <charset val="186"/>
    </font>
    <font>
      <b/>
      <sz val="8"/>
      <name val="Times New Roman"/>
      <family val="1"/>
      <charset val="186"/>
    </font>
    <font>
      <i/>
      <sz val="8"/>
      <color rgb="FFFF0000"/>
      <name val="Times New Roman"/>
      <family val="1"/>
      <charset val="186"/>
    </font>
    <font>
      <sz val="10"/>
      <color indexed="10"/>
      <name val="Times New Roman"/>
      <family val="1"/>
      <charset val="186"/>
    </font>
    <font>
      <b/>
      <sz val="8"/>
      <color indexed="10"/>
      <name val="Times New Roman"/>
      <family val="1"/>
      <charset val="186"/>
    </font>
    <font>
      <sz val="8"/>
      <color theme="0" tint="-0.499984740745262"/>
      <name val="Times New Roman"/>
      <family val="1"/>
      <charset val="186"/>
    </font>
    <font>
      <sz val="8"/>
      <color rgb="FFFF0000"/>
      <name val="Arial"/>
      <family val="2"/>
      <charset val="186"/>
    </font>
    <font>
      <sz val="10"/>
      <color theme="1"/>
      <name val="Arial"/>
      <family val="2"/>
      <charset val="186"/>
    </font>
    <font>
      <b/>
      <sz val="10"/>
      <color theme="1"/>
      <name val="Arial"/>
      <family val="2"/>
      <charset val="186"/>
    </font>
    <font>
      <b/>
      <sz val="16"/>
      <name val="Calibri"/>
      <family val="2"/>
      <charset val="186"/>
      <scheme val="minor"/>
    </font>
    <font>
      <b/>
      <sz val="16"/>
      <color rgb="FFFF0000"/>
      <name val="Calibri"/>
      <family val="2"/>
      <charset val="186"/>
      <scheme val="minor"/>
    </font>
    <font>
      <sz val="8"/>
      <name val="Times"/>
      <family val="1"/>
    </font>
    <font>
      <i/>
      <sz val="10"/>
      <name val="Calibri"/>
      <family val="2"/>
      <charset val="186"/>
      <scheme val="minor"/>
    </font>
    <font>
      <b/>
      <sz val="10"/>
      <name val="Calibri"/>
      <family val="2"/>
      <charset val="186"/>
      <scheme val="minor"/>
    </font>
    <font>
      <b/>
      <sz val="10"/>
      <color theme="1"/>
      <name val="Calibri"/>
      <family val="2"/>
      <charset val="186"/>
      <scheme val="minor"/>
    </font>
    <font>
      <sz val="10"/>
      <name val="Calibri"/>
      <family val="2"/>
      <charset val="186"/>
      <scheme val="minor"/>
    </font>
    <font>
      <sz val="10"/>
      <color theme="0"/>
      <name val="Calibri"/>
      <family val="2"/>
      <charset val="186"/>
      <scheme val="minor"/>
    </font>
    <font>
      <sz val="10"/>
      <color theme="1"/>
      <name val="Calibri"/>
      <family val="2"/>
      <charset val="186"/>
      <scheme val="minor"/>
    </font>
    <font>
      <sz val="10"/>
      <color rgb="FFFF0000"/>
      <name val="Calibri"/>
      <family val="2"/>
      <charset val="186"/>
      <scheme val="minor"/>
    </font>
  </fonts>
  <fills count="34">
    <fill>
      <patternFill patternType="none"/>
    </fill>
    <fill>
      <patternFill patternType="gray125"/>
    </fill>
    <fill>
      <patternFill patternType="solid">
        <fgColor indexed="45"/>
        <bgColor indexed="29"/>
      </patternFill>
    </fill>
    <fill>
      <patternFill patternType="solid">
        <fgColor indexed="22"/>
        <bgColor indexed="31"/>
      </patternFill>
    </fill>
    <fill>
      <patternFill patternType="solid">
        <fgColor indexed="43"/>
        <bgColor indexed="26"/>
      </patternFill>
    </fill>
    <fill>
      <patternFill patternType="solid">
        <fgColor indexed="53"/>
        <bgColor indexed="52"/>
      </patternFill>
    </fill>
    <fill>
      <patternFill patternType="solid">
        <fgColor indexed="27"/>
        <bgColor indexed="41"/>
      </patternFill>
    </fill>
    <fill>
      <patternFill patternType="solid">
        <fgColor indexed="9"/>
        <bgColor indexed="26"/>
      </patternFill>
    </fill>
    <fill>
      <patternFill patternType="solid">
        <fgColor indexed="9"/>
        <bgColor indexed="64"/>
      </patternFill>
    </fill>
    <fill>
      <patternFill patternType="solid">
        <fgColor indexed="9"/>
        <bgColor indexed="31"/>
      </patternFill>
    </fill>
    <fill>
      <patternFill patternType="solid">
        <fgColor indexed="13"/>
        <bgColor indexed="64"/>
      </patternFill>
    </fill>
    <fill>
      <patternFill patternType="solid">
        <fgColor indexed="13"/>
        <bgColor indexed="26"/>
      </patternFill>
    </fill>
    <fill>
      <patternFill patternType="solid">
        <fgColor indexed="22"/>
        <bgColor indexed="64"/>
      </patternFill>
    </fill>
    <fill>
      <patternFill patternType="solid">
        <fgColor indexed="13"/>
        <bgColor indexed="31"/>
      </patternFill>
    </fill>
    <fill>
      <patternFill patternType="solid">
        <fgColor theme="0" tint="-0.249977111117893"/>
        <bgColor indexed="31"/>
      </patternFill>
    </fill>
    <fill>
      <patternFill patternType="solid">
        <fgColor theme="0" tint="-0.249977111117893"/>
        <bgColor indexed="64"/>
      </patternFill>
    </fill>
    <fill>
      <patternFill patternType="solid">
        <fgColor theme="0"/>
        <bgColor indexed="31"/>
      </patternFill>
    </fill>
    <fill>
      <patternFill patternType="solid">
        <fgColor theme="0"/>
        <bgColor indexed="64"/>
      </patternFill>
    </fill>
    <fill>
      <patternFill patternType="solid">
        <fgColor theme="4" tint="0.79998168889431442"/>
        <bgColor indexed="64"/>
      </patternFill>
    </fill>
    <fill>
      <patternFill patternType="solid">
        <fgColor theme="0"/>
        <bgColor indexed="26"/>
      </patternFill>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79998168889431442"/>
        <bgColor indexed="31"/>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F00"/>
        <bgColor indexed="26"/>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0" tint="-0.249977111117893"/>
        <bgColor indexed="26"/>
      </patternFill>
    </fill>
    <fill>
      <patternFill patternType="solid">
        <fgColor indexed="22"/>
      </patternFill>
    </fill>
    <fill>
      <patternFill patternType="solid">
        <fgColor rgb="FFFFCC00"/>
        <bgColor indexed="64"/>
      </patternFill>
    </fill>
  </fills>
  <borders count="9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8"/>
      </left>
      <right style="hair">
        <color indexed="8"/>
      </right>
      <top style="hair">
        <color indexed="8"/>
      </top>
      <bottom style="hair">
        <color indexed="8"/>
      </bottom>
      <diagonal/>
    </border>
    <border>
      <left style="thin">
        <color indexed="17"/>
      </left>
      <right style="thin">
        <color indexed="17"/>
      </right>
      <top style="thin">
        <color indexed="17"/>
      </top>
      <bottom style="thin">
        <color indexed="17"/>
      </bottom>
      <diagonal/>
    </border>
    <border>
      <left/>
      <right/>
      <top style="thin">
        <color indexed="62"/>
      </top>
      <bottom style="double">
        <color indexed="62"/>
      </bottom>
      <diagonal/>
    </border>
    <border>
      <left/>
      <right/>
      <top/>
      <bottom style="thin">
        <color indexed="59"/>
      </bottom>
      <diagonal/>
    </border>
    <border>
      <left/>
      <right/>
      <top style="thin">
        <color indexed="59"/>
      </top>
      <bottom style="thin">
        <color indexed="59"/>
      </bottom>
      <diagonal/>
    </border>
    <border>
      <left style="thin">
        <color indexed="59"/>
      </left>
      <right/>
      <top/>
      <bottom/>
      <diagonal/>
    </border>
    <border>
      <left style="thin">
        <color indexed="59"/>
      </left>
      <right/>
      <top style="thin">
        <color indexed="59"/>
      </top>
      <bottom style="thin">
        <color indexed="59"/>
      </bottom>
      <diagonal/>
    </border>
    <border>
      <left style="thin">
        <color indexed="64"/>
      </left>
      <right style="thin">
        <color indexed="64"/>
      </right>
      <top style="thin">
        <color indexed="64"/>
      </top>
      <bottom style="thin">
        <color indexed="64"/>
      </bottom>
      <diagonal/>
    </border>
    <border>
      <left/>
      <right style="thin">
        <color indexed="59"/>
      </right>
      <top style="thin">
        <color indexed="59"/>
      </top>
      <bottom style="thin">
        <color indexed="59"/>
      </bottom>
      <diagonal/>
    </border>
    <border>
      <left style="thin">
        <color indexed="59"/>
      </left>
      <right/>
      <top/>
      <bottom style="thin">
        <color indexed="59"/>
      </bottom>
      <diagonal/>
    </border>
    <border>
      <left/>
      <right style="thin">
        <color indexed="59"/>
      </right>
      <top/>
      <bottom/>
      <diagonal/>
    </border>
    <border>
      <left style="thin">
        <color indexed="59"/>
      </left>
      <right/>
      <top style="thin">
        <color indexed="59"/>
      </top>
      <bottom/>
      <diagonal/>
    </border>
    <border>
      <left style="thin">
        <color indexed="59"/>
      </left>
      <right style="thin">
        <color indexed="59"/>
      </right>
      <top style="thin">
        <color indexed="59"/>
      </top>
      <bottom style="thin">
        <color indexed="59"/>
      </bottom>
      <diagonal/>
    </border>
    <border>
      <left style="thin">
        <color indexed="59"/>
      </left>
      <right style="thin">
        <color indexed="59"/>
      </right>
      <top/>
      <bottom style="thin">
        <color indexed="59"/>
      </bottom>
      <diagonal/>
    </border>
    <border>
      <left/>
      <right/>
      <top style="thin">
        <color indexed="5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59"/>
      </right>
      <top/>
      <bottom style="thin">
        <color indexed="59"/>
      </bottom>
      <diagonal/>
    </border>
    <border>
      <left style="thin">
        <color indexed="59"/>
      </left>
      <right style="thin">
        <color indexed="59"/>
      </right>
      <top style="thin">
        <color indexed="59"/>
      </top>
      <bottom/>
      <diagonal/>
    </border>
    <border>
      <left style="thin">
        <color indexed="64"/>
      </left>
      <right style="thin">
        <color indexed="64"/>
      </right>
      <top style="thin">
        <color indexed="64"/>
      </top>
      <bottom/>
      <diagonal/>
    </border>
    <border>
      <left style="thin">
        <color indexed="59"/>
      </left>
      <right style="thin">
        <color indexed="59"/>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right style="double">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59"/>
      </right>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right style="double">
        <color indexed="64"/>
      </right>
      <top style="double">
        <color indexed="64"/>
      </top>
      <bottom/>
      <diagonal/>
    </border>
    <border>
      <left style="medium">
        <color indexed="64"/>
      </left>
      <right style="medium">
        <color indexed="64"/>
      </right>
      <top style="medium">
        <color indexed="64"/>
      </top>
      <bottom/>
      <diagonal/>
    </border>
    <border>
      <left style="double">
        <color indexed="64"/>
      </left>
      <right/>
      <top style="thin">
        <color indexed="64"/>
      </top>
      <bottom style="thin">
        <color indexed="64"/>
      </bottom>
      <diagonal/>
    </border>
    <border>
      <left style="thin">
        <color indexed="23"/>
      </left>
      <right/>
      <top/>
      <bottom/>
      <diagonal/>
    </border>
    <border>
      <left style="thin">
        <color indexed="64"/>
      </left>
      <right/>
      <top/>
      <bottom/>
      <diagonal/>
    </border>
    <border>
      <left style="medium">
        <color indexed="64"/>
      </left>
      <right style="double">
        <color indexed="64"/>
      </right>
      <top/>
      <bottom/>
      <diagonal/>
    </border>
    <border>
      <left style="double">
        <color indexed="64"/>
      </left>
      <right style="double">
        <color indexed="64"/>
      </right>
      <top style="medium">
        <color indexed="64"/>
      </top>
      <bottom style="medium">
        <color indexed="64"/>
      </bottom>
      <diagonal/>
    </border>
    <border>
      <left style="thin">
        <color indexed="59"/>
      </left>
      <right style="thin">
        <color indexed="64"/>
      </right>
      <top style="thin">
        <color indexed="59"/>
      </top>
      <bottom style="thin">
        <color indexed="64"/>
      </bottom>
      <diagonal/>
    </border>
    <border>
      <left style="thin">
        <color indexed="59"/>
      </left>
      <right style="thin">
        <color indexed="59"/>
      </right>
      <top style="thin">
        <color indexed="59"/>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59"/>
      </left>
      <right/>
      <top style="thin">
        <color indexed="64"/>
      </top>
      <bottom style="thin">
        <color indexed="59"/>
      </bottom>
      <diagonal/>
    </border>
    <border>
      <left/>
      <right/>
      <top style="thin">
        <color indexed="64"/>
      </top>
      <bottom style="thin">
        <color indexed="59"/>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45">
    <xf numFmtId="0" fontId="0" fillId="0" borderId="0"/>
    <xf numFmtId="0" fontId="3" fillId="2" borderId="0" applyNumberFormat="0" applyBorder="0" applyProtection="0">
      <alignment vertical="top" wrapText="1"/>
    </xf>
    <xf numFmtId="0" fontId="4" fillId="3" borderId="1" applyNumberFormat="0" applyProtection="0">
      <alignment vertical="top" wrapText="1"/>
    </xf>
    <xf numFmtId="0" fontId="4" fillId="3" borderId="1" applyNumberFormat="0" applyProtection="0">
      <alignment vertical="top" wrapText="1"/>
    </xf>
    <xf numFmtId="43" fontId="20" fillId="0" borderId="0" applyFont="0" applyFill="0" applyBorder="0" applyAlignment="0" applyProtection="0"/>
    <xf numFmtId="0" fontId="5" fillId="0" borderId="0" applyNumberFormat="0" applyProtection="0">
      <alignment horizontal="left" vertical="top"/>
    </xf>
    <xf numFmtId="0" fontId="6" fillId="0" borderId="0" applyNumberFormat="0" applyProtection="0">
      <alignment vertical="top"/>
    </xf>
    <xf numFmtId="0" fontId="7" fillId="0" borderId="0" applyNumberFormat="0" applyProtection="0">
      <alignment vertical="top"/>
    </xf>
    <xf numFmtId="0" fontId="8" fillId="0" borderId="0" applyNumberFormat="0" applyBorder="0" applyProtection="0">
      <alignment vertical="top" wrapText="1"/>
    </xf>
    <xf numFmtId="0" fontId="20" fillId="0" borderId="0" applyNumberFormat="0" applyBorder="0" applyProtection="0">
      <alignment horizontal="left" vertical="top"/>
    </xf>
    <xf numFmtId="0" fontId="20" fillId="0" borderId="0" applyNumberFormat="0" applyBorder="0" applyProtection="0">
      <alignment horizontal="right" vertical="top"/>
    </xf>
    <xf numFmtId="0" fontId="20" fillId="0" borderId="0" applyNumberFormat="0" applyBorder="0" applyProtection="0">
      <alignment horizontal="left" vertical="top"/>
    </xf>
    <xf numFmtId="0" fontId="20" fillId="0" borderId="0" applyNumberFormat="0" applyBorder="0" applyProtection="0">
      <alignment horizontal="left" vertical="top"/>
    </xf>
    <xf numFmtId="0" fontId="20" fillId="0" borderId="0" applyNumberFormat="0" applyBorder="0" applyProtection="0">
      <alignment horizontal="left" vertical="top"/>
    </xf>
    <xf numFmtId="0" fontId="9" fillId="4" borderId="0" applyNumberFormat="0" applyBorder="0" applyProtection="0">
      <alignment vertical="top" wrapText="1"/>
    </xf>
    <xf numFmtId="0" fontId="10" fillId="0" borderId="0"/>
    <xf numFmtId="0" fontId="11" fillId="0" borderId="0"/>
    <xf numFmtId="0" fontId="20" fillId="0" borderId="0"/>
    <xf numFmtId="0" fontId="47" fillId="0" borderId="0"/>
    <xf numFmtId="0" fontId="20" fillId="0" borderId="0" applyNumberFormat="0" applyProtection="0">
      <alignment vertical="top"/>
    </xf>
    <xf numFmtId="0" fontId="12" fillId="3" borderId="2" applyNumberFormat="0" applyProtection="0">
      <alignment vertical="top" wrapText="1"/>
    </xf>
    <xf numFmtId="9" fontId="20"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0" fontId="20" fillId="3" borderId="3" applyNumberFormat="0" applyProtection="0">
      <alignment horizontal="left" vertical="top" wrapText="1"/>
    </xf>
    <xf numFmtId="0" fontId="20" fillId="3" borderId="3" applyNumberFormat="0" applyProtection="0">
      <alignment horizontal="center" vertical="top" wrapText="1"/>
    </xf>
    <xf numFmtId="0" fontId="20" fillId="0" borderId="3" applyNumberFormat="0" applyProtection="0">
      <alignment horizontal="center" vertical="top" wrapText="1"/>
    </xf>
    <xf numFmtId="0" fontId="20" fillId="0" borderId="3" applyNumberFormat="0" applyProtection="0">
      <alignment horizontal="center" vertical="top" wrapText="1"/>
    </xf>
    <xf numFmtId="0" fontId="20" fillId="0" borderId="3" applyNumberFormat="0" applyProtection="0">
      <alignment horizontal="center" vertical="top" wrapText="1"/>
    </xf>
    <xf numFmtId="0" fontId="20" fillId="0" borderId="3" applyNumberFormat="0" applyProtection="0">
      <alignment horizontal="center" vertical="top" wrapText="1"/>
    </xf>
    <xf numFmtId="0" fontId="20" fillId="0" borderId="3" applyNumberFormat="0" applyProtection="0">
      <alignment horizontal="left" vertical="top" wrapText="1"/>
    </xf>
    <xf numFmtId="0" fontId="20" fillId="5" borderId="3" applyNumberFormat="0" applyProtection="0">
      <alignment horizontal="center" vertical="top" wrapText="1"/>
    </xf>
    <xf numFmtId="0" fontId="20" fillId="4" borderId="3" applyNumberFormat="0" applyProtection="0">
      <alignment horizontal="center" vertical="top" wrapText="1"/>
    </xf>
    <xf numFmtId="0" fontId="20" fillId="6" borderId="3" applyNumberFormat="0" applyProtection="0">
      <alignment horizontal="center" vertical="top" wrapText="1"/>
    </xf>
    <xf numFmtId="0" fontId="20" fillId="0" borderId="3" applyNumberFormat="0" applyProtection="0">
      <alignment horizontal="left" vertical="top" wrapText="1"/>
    </xf>
    <xf numFmtId="0" fontId="20" fillId="0" borderId="3" applyNumberFormat="0" applyProtection="0">
      <alignment horizontal="left" vertical="top" wrapText="1"/>
    </xf>
    <xf numFmtId="0" fontId="20" fillId="6" borderId="3" applyNumberFormat="0" applyProtection="0">
      <alignment horizontal="left" vertical="top" wrapText="1"/>
    </xf>
    <xf numFmtId="0" fontId="20" fillId="7" borderId="4" applyNumberFormat="0" applyProtection="0">
      <alignment horizontal="left" vertical="top" wrapText="1"/>
    </xf>
    <xf numFmtId="0" fontId="20" fillId="7" borderId="4" applyNumberFormat="0" applyProtection="0">
      <alignment horizontal="left" vertical="top" wrapText="1"/>
    </xf>
    <xf numFmtId="0" fontId="20" fillId="6" borderId="4" applyNumberFormat="0" applyProtection="0">
      <alignment horizontal="center" vertical="top" wrapText="1"/>
    </xf>
    <xf numFmtId="0" fontId="13" fillId="0" borderId="0" applyNumberFormat="0" applyBorder="0" applyProtection="0">
      <alignment vertical="top" wrapText="1"/>
    </xf>
    <xf numFmtId="0" fontId="14" fillId="0" borderId="5" applyNumberFormat="0" applyProtection="0">
      <alignment vertical="top" wrapText="1"/>
    </xf>
    <xf numFmtId="0" fontId="20" fillId="6" borderId="4" applyNumberFormat="0" applyProtection="0">
      <alignment horizontal="left" vertical="top" wrapText="1"/>
    </xf>
    <xf numFmtId="0" fontId="77" fillId="0" borderId="0"/>
    <xf numFmtId="182" fontId="45" fillId="32" borderId="26" applyAlignment="0" applyProtection="0"/>
  </cellStyleXfs>
  <cellXfs count="1061">
    <xf numFmtId="0" fontId="2" fillId="0" borderId="0" xfId="0" applyFont="1" applyAlignment="1">
      <alignment vertical="top" wrapText="1"/>
    </xf>
    <xf numFmtId="0" fontId="18" fillId="8" borderId="0" xfId="0" applyFont="1" applyFill="1" applyAlignment="1" applyProtection="1">
      <alignment vertical="top" wrapText="1"/>
    </xf>
    <xf numFmtId="0" fontId="18" fillId="9" borderId="7" xfId="0" applyFont="1" applyFill="1" applyBorder="1" applyAlignment="1" applyProtection="1">
      <alignment vertical="top" wrapText="1"/>
    </xf>
    <xf numFmtId="0" fontId="15" fillId="8" borderId="7" xfId="0" applyFont="1" applyFill="1" applyBorder="1" applyAlignment="1" applyProtection="1">
      <alignment vertical="top" wrapText="1"/>
    </xf>
    <xf numFmtId="0" fontId="15" fillId="8" borderId="0" xfId="0" applyFont="1" applyFill="1" applyAlignment="1" applyProtection="1">
      <alignment vertical="top" wrapText="1"/>
    </xf>
    <xf numFmtId="3" fontId="18" fillId="8" borderId="0" xfId="0" applyNumberFormat="1" applyFont="1" applyFill="1" applyAlignment="1" applyProtection="1">
      <alignment vertical="top" wrapText="1"/>
    </xf>
    <xf numFmtId="0" fontId="15" fillId="0" borderId="0" xfId="0" applyFont="1" applyFill="1" applyAlignment="1" applyProtection="1">
      <alignment wrapText="1"/>
    </xf>
    <xf numFmtId="0" fontId="15" fillId="0" borderId="0" xfId="0" applyFont="1" applyFill="1" applyAlignment="1" applyProtection="1">
      <alignment vertical="top" wrapText="1"/>
    </xf>
    <xf numFmtId="0" fontId="25" fillId="14" borderId="1" xfId="2" applyNumberFormat="1" applyFont="1" applyFill="1" applyAlignment="1" applyProtection="1">
      <alignment horizontal="center"/>
    </xf>
    <xf numFmtId="0" fontId="25" fillId="3" borderId="1" xfId="2" applyNumberFormat="1" applyFont="1" applyAlignment="1" applyProtection="1">
      <alignment horizontal="center"/>
    </xf>
    <xf numFmtId="0" fontId="25" fillId="0" borderId="10" xfId="2" applyNumberFormat="1" applyFont="1" applyFill="1" applyBorder="1" applyAlignment="1" applyProtection="1">
      <alignment horizontal="center"/>
    </xf>
    <xf numFmtId="2" fontId="23" fillId="0" borderId="10" xfId="2" applyNumberFormat="1" applyFont="1" applyFill="1" applyBorder="1" applyAlignment="1" applyProtection="1"/>
    <xf numFmtId="3" fontId="36" fillId="0" borderId="0" xfId="6" applyNumberFormat="1" applyFont="1" applyAlignment="1" applyProtection="1">
      <alignment vertical="top"/>
    </xf>
    <xf numFmtId="3" fontId="23" fillId="9" borderId="1" xfId="2" applyNumberFormat="1" applyFont="1" applyFill="1" applyAlignment="1" applyProtection="1">
      <alignment horizontal="center"/>
    </xf>
    <xf numFmtId="9" fontId="23" fillId="9" borderId="1" xfId="2" applyNumberFormat="1" applyFont="1" applyFill="1" applyAlignment="1" applyProtection="1">
      <alignment horizontal="center"/>
    </xf>
    <xf numFmtId="165" fontId="26" fillId="8" borderId="0" xfId="0" applyNumberFormat="1" applyFont="1" applyFill="1" applyBorder="1" applyAlignment="1" applyProtection="1">
      <alignment vertical="top" wrapText="1"/>
    </xf>
    <xf numFmtId="0" fontId="39" fillId="9" borderId="7" xfId="0" applyFont="1" applyFill="1" applyBorder="1" applyAlignment="1" applyProtection="1">
      <alignment vertical="top" wrapText="1"/>
    </xf>
    <xf numFmtId="0" fontId="23" fillId="8" borderId="9" xfId="0" applyFont="1" applyFill="1" applyBorder="1" applyAlignment="1" applyProtection="1">
      <alignment vertical="top" wrapText="1"/>
    </xf>
    <xf numFmtId="0" fontId="23" fillId="8" borderId="7" xfId="0" applyFont="1" applyFill="1" applyBorder="1" applyAlignment="1" applyProtection="1">
      <alignment vertical="top" wrapText="1"/>
    </xf>
    <xf numFmtId="0" fontId="23" fillId="8" borderId="7" xfId="0" applyFont="1" applyFill="1" applyBorder="1" applyAlignment="1" applyProtection="1">
      <alignment horizontal="center"/>
    </xf>
    <xf numFmtId="0" fontId="25" fillId="8" borderId="7" xfId="0" applyFont="1" applyFill="1" applyBorder="1" applyAlignment="1" applyProtection="1">
      <alignment horizontal="center"/>
    </xf>
    <xf numFmtId="0" fontId="25" fillId="8" borderId="6" xfId="0" applyFont="1" applyFill="1" applyBorder="1" applyAlignment="1" applyProtection="1">
      <alignment horizontal="center"/>
    </xf>
    <xf numFmtId="3" fontId="28" fillId="8" borderId="0" xfId="7" applyNumberFormat="1" applyFont="1" applyFill="1" applyProtection="1">
      <alignment vertical="top"/>
    </xf>
    <xf numFmtId="3" fontId="36" fillId="8" borderId="0" xfId="6" applyNumberFormat="1" applyFont="1" applyFill="1" applyProtection="1">
      <alignment vertical="top"/>
    </xf>
    <xf numFmtId="3" fontId="28" fillId="0" borderId="0" xfId="7" applyNumberFormat="1" applyFont="1" applyProtection="1">
      <alignment vertical="top"/>
    </xf>
    <xf numFmtId="3" fontId="36" fillId="0" borderId="0" xfId="6" applyNumberFormat="1" applyFont="1" applyProtection="1">
      <alignment vertical="top"/>
    </xf>
    <xf numFmtId="3" fontId="29" fillId="0" borderId="0" xfId="0" applyNumberFormat="1" applyFont="1" applyFill="1" applyBorder="1" applyAlignment="1" applyProtection="1">
      <alignment vertical="top" wrapText="1"/>
    </xf>
    <xf numFmtId="3" fontId="23" fillId="16" borderId="1" xfId="2" applyNumberFormat="1" applyFont="1" applyFill="1" applyAlignment="1" applyProtection="1">
      <alignment horizontal="center"/>
    </xf>
    <xf numFmtId="0" fontId="33" fillId="0" borderId="12" xfId="0" applyFont="1" applyBorder="1" applyAlignment="1" applyProtection="1">
      <alignment vertical="top" wrapText="1"/>
    </xf>
    <xf numFmtId="0" fontId="23" fillId="3" borderId="10" xfId="2" applyNumberFormat="1" applyFont="1" applyBorder="1" applyAlignment="1" applyProtection="1">
      <alignment horizontal="center"/>
    </xf>
    <xf numFmtId="0" fontId="42" fillId="0" borderId="10" xfId="0" applyFont="1" applyBorder="1" applyAlignment="1" applyProtection="1">
      <alignment wrapText="1"/>
    </xf>
    <xf numFmtId="0" fontId="26" fillId="0" borderId="10" xfId="0" applyFont="1" applyBorder="1" applyAlignment="1" applyProtection="1">
      <alignment vertical="top" wrapText="1"/>
    </xf>
    <xf numFmtId="0" fontId="26" fillId="0" borderId="10" xfId="0" applyFont="1" applyFill="1" applyBorder="1" applyAlignment="1" applyProtection="1">
      <alignment horizontal="left"/>
    </xf>
    <xf numFmtId="0" fontId="41" fillId="0" borderId="10" xfId="0" applyFont="1" applyBorder="1" applyAlignment="1" applyProtection="1">
      <alignment vertical="top" wrapText="1"/>
    </xf>
    <xf numFmtId="0" fontId="41" fillId="23" borderId="0" xfId="0" applyFont="1" applyFill="1" applyBorder="1" applyAlignment="1" applyProtection="1">
      <alignment vertical="top" wrapText="1"/>
    </xf>
    <xf numFmtId="9" fontId="23" fillId="24" borderId="1" xfId="2" applyNumberFormat="1" applyFont="1" applyFill="1" applyAlignment="1" applyProtection="1">
      <alignment horizontal="center"/>
    </xf>
    <xf numFmtId="3" fontId="23" fillId="9" borderId="0" xfId="2" applyNumberFormat="1" applyFont="1" applyFill="1" applyBorder="1" applyAlignment="1" applyProtection="1">
      <alignment horizontal="center"/>
    </xf>
    <xf numFmtId="10" fontId="23" fillId="24" borderId="1" xfId="2" applyNumberFormat="1" applyFont="1" applyFill="1" applyAlignment="1" applyProtection="1">
      <alignment horizontal="center"/>
    </xf>
    <xf numFmtId="10" fontId="23" fillId="10" borderId="10" xfId="21" applyNumberFormat="1" applyFont="1" applyFill="1" applyBorder="1" applyAlignment="1" applyProtection="1">
      <protection locked="0"/>
    </xf>
    <xf numFmtId="0" fontId="41" fillId="23" borderId="0" xfId="0" applyFont="1" applyFill="1" applyBorder="1" applyAlignment="1" applyProtection="1">
      <alignment horizontal="left" vertical="top" wrapText="1" indent="1"/>
    </xf>
    <xf numFmtId="0" fontId="25" fillId="8" borderId="9" xfId="0" applyFont="1" applyFill="1" applyBorder="1" applyAlignment="1" applyProtection="1">
      <alignment vertical="top" wrapText="1"/>
    </xf>
    <xf numFmtId="0" fontId="23" fillId="0" borderId="9" xfId="0" applyFont="1" applyFill="1" applyBorder="1" applyAlignment="1" applyProtection="1">
      <alignment vertical="top" wrapText="1"/>
    </xf>
    <xf numFmtId="0" fontId="23" fillId="0" borderId="9" xfId="0" applyFont="1" applyFill="1" applyBorder="1" applyAlignment="1" applyProtection="1">
      <alignment horizontal="left" indent="1"/>
    </xf>
    <xf numFmtId="0" fontId="23" fillId="23" borderId="9" xfId="0" applyFont="1" applyFill="1" applyBorder="1" applyAlignment="1" applyProtection="1">
      <alignment wrapText="1"/>
    </xf>
    <xf numFmtId="0" fontId="25" fillId="8" borderId="9" xfId="0" applyFont="1" applyFill="1" applyBorder="1" applyAlignment="1" applyProtection="1">
      <alignment wrapText="1"/>
    </xf>
    <xf numFmtId="0" fontId="25" fillId="8" borderId="17" xfId="0" applyFont="1" applyFill="1" applyBorder="1" applyAlignment="1" applyProtection="1">
      <alignment horizontal="center"/>
    </xf>
    <xf numFmtId="0" fontId="18" fillId="8" borderId="10" xfId="0" applyFont="1" applyFill="1" applyBorder="1" applyAlignment="1" applyProtection="1">
      <alignment vertical="top" wrapText="1"/>
    </xf>
    <xf numFmtId="3" fontId="18" fillId="8" borderId="10" xfId="0" applyNumberFormat="1" applyFont="1" applyFill="1" applyBorder="1" applyAlignment="1" applyProtection="1">
      <alignment vertical="top" wrapText="1"/>
    </xf>
    <xf numFmtId="0" fontId="26" fillId="17" borderId="10" xfId="0" applyFont="1" applyFill="1" applyBorder="1" applyAlignment="1" applyProtection="1">
      <alignment horizontal="left"/>
    </xf>
    <xf numFmtId="0" fontId="18" fillId="17" borderId="0" xfId="0" applyFont="1" applyFill="1" applyAlignment="1" applyProtection="1">
      <alignment vertical="top" wrapText="1"/>
    </xf>
    <xf numFmtId="0" fontId="27" fillId="16" borderId="9" xfId="0" applyFont="1" applyFill="1" applyBorder="1" applyAlignment="1" applyProtection="1">
      <alignment vertical="top" wrapText="1"/>
    </xf>
    <xf numFmtId="0" fontId="39" fillId="16" borderId="7" xfId="0" applyFont="1" applyFill="1" applyBorder="1" applyAlignment="1" applyProtection="1">
      <alignment vertical="top" wrapText="1"/>
    </xf>
    <xf numFmtId="0" fontId="23" fillId="17" borderId="9" xfId="0" applyFont="1" applyFill="1" applyBorder="1" applyAlignment="1" applyProtection="1">
      <alignment vertical="top" wrapText="1"/>
    </xf>
    <xf numFmtId="0" fontId="23" fillId="17" borderId="7" xfId="0" applyFont="1" applyFill="1" applyBorder="1" applyAlignment="1" applyProtection="1">
      <alignment vertical="top" wrapText="1"/>
    </xf>
    <xf numFmtId="0" fontId="25" fillId="17" borderId="7" xfId="0" applyFont="1" applyFill="1" applyBorder="1" applyAlignment="1" applyProtection="1">
      <alignment horizontal="center"/>
    </xf>
    <xf numFmtId="0" fontId="25" fillId="17" borderId="12" xfId="0" applyFont="1" applyFill="1" applyBorder="1" applyAlignment="1" applyProtection="1">
      <alignment vertical="top" wrapText="1"/>
    </xf>
    <xf numFmtId="0" fontId="25" fillId="17" borderId="6" xfId="0" applyFont="1" applyFill="1" applyBorder="1" applyAlignment="1" applyProtection="1">
      <alignment horizontal="center"/>
    </xf>
    <xf numFmtId="0" fontId="23" fillId="17" borderId="15" xfId="0" applyFont="1" applyFill="1" applyBorder="1" applyAlignment="1" applyProtection="1">
      <alignment vertical="top" wrapText="1"/>
    </xf>
    <xf numFmtId="0" fontId="23" fillId="17" borderId="15" xfId="0" applyFont="1" applyFill="1" applyBorder="1" applyAlignment="1" applyProtection="1">
      <alignment wrapText="1"/>
    </xf>
    <xf numFmtId="0" fontId="25" fillId="17" borderId="15" xfId="0" applyFont="1" applyFill="1" applyBorder="1" applyAlignment="1" applyProtection="1">
      <alignment vertical="top" wrapText="1"/>
    </xf>
    <xf numFmtId="0" fontId="23" fillId="17" borderId="15" xfId="0" applyFont="1" applyFill="1" applyBorder="1" applyAlignment="1" applyProtection="1">
      <alignment horizontal="left" indent="1"/>
    </xf>
    <xf numFmtId="0" fontId="25" fillId="17" borderId="15" xfId="0" applyFont="1" applyFill="1" applyBorder="1" applyAlignment="1" applyProtection="1">
      <alignment wrapText="1"/>
    </xf>
    <xf numFmtId="0" fontId="19" fillId="17" borderId="0" xfId="0" applyFont="1" applyFill="1" applyAlignment="1" applyProtection="1">
      <alignment vertical="top" wrapText="1"/>
    </xf>
    <xf numFmtId="3" fontId="18" fillId="17" borderId="0" xfId="0" applyNumberFormat="1" applyFont="1" applyFill="1" applyAlignment="1" applyProtection="1">
      <alignment vertical="top" wrapText="1"/>
    </xf>
    <xf numFmtId="0" fontId="25" fillId="17" borderId="17" xfId="0" applyFont="1" applyFill="1" applyBorder="1" applyAlignment="1" applyProtection="1">
      <alignment horizontal="center"/>
    </xf>
    <xf numFmtId="0" fontId="18" fillId="17" borderId="10" xfId="0" applyFont="1" applyFill="1" applyBorder="1" applyAlignment="1" applyProtection="1">
      <alignment vertical="top" wrapText="1"/>
    </xf>
    <xf numFmtId="0" fontId="23" fillId="17" borderId="9" xfId="0" applyFont="1" applyFill="1" applyBorder="1" applyAlignment="1" applyProtection="1">
      <alignment wrapText="1"/>
    </xf>
    <xf numFmtId="0" fontId="25" fillId="17" borderId="9" xfId="0" applyFont="1" applyFill="1" applyBorder="1" applyAlignment="1" applyProtection="1">
      <alignment vertical="top" wrapText="1"/>
    </xf>
    <xf numFmtId="0" fontId="21" fillId="0" borderId="0" xfId="0" applyFont="1" applyAlignment="1" applyProtection="1">
      <alignment vertical="top" wrapText="1"/>
      <protection locked="0"/>
    </xf>
    <xf numFmtId="0" fontId="21" fillId="3" borderId="0" xfId="0" applyFont="1" applyFill="1" applyAlignment="1" applyProtection="1">
      <alignment vertical="top" wrapText="1"/>
    </xf>
    <xf numFmtId="0" fontId="21" fillId="0" borderId="0" xfId="0" applyFont="1" applyAlignment="1" applyProtection="1">
      <alignment horizontal="left" vertical="top" wrapText="1"/>
      <protection locked="0"/>
    </xf>
    <xf numFmtId="0" fontId="22" fillId="3" borderId="16" xfId="2" applyNumberFormat="1" applyFont="1" applyBorder="1" applyAlignment="1" applyProtection="1">
      <alignment horizontal="center"/>
    </xf>
    <xf numFmtId="0" fontId="22" fillId="3" borderId="10" xfId="2" applyNumberFormat="1" applyFont="1" applyFill="1" applyBorder="1" applyAlignment="1" applyProtection="1">
      <alignment horizontal="center"/>
    </xf>
    <xf numFmtId="0" fontId="21" fillId="0" borderId="9" xfId="0" applyFont="1" applyFill="1" applyBorder="1" applyAlignment="1" applyProtection="1">
      <alignment horizontal="left"/>
    </xf>
    <xf numFmtId="0" fontId="21" fillId="20" borderId="10" xfId="0" applyFont="1" applyFill="1" applyBorder="1" applyAlignment="1" applyProtection="1">
      <alignment vertical="top" wrapText="1"/>
      <protection locked="0"/>
    </xf>
    <xf numFmtId="0" fontId="21" fillId="0" borderId="10" xfId="0" applyFont="1" applyFill="1" applyBorder="1" applyAlignment="1" applyProtection="1">
      <alignment horizontal="left"/>
    </xf>
    <xf numFmtId="3" fontId="65" fillId="10" borderId="22" xfId="0" applyNumberFormat="1" applyFont="1" applyFill="1" applyBorder="1" applyAlignment="1" applyProtection="1">
      <alignment horizontal="right"/>
      <protection locked="0"/>
    </xf>
    <xf numFmtId="0" fontId="49" fillId="0" borderId="10" xfId="0" applyFont="1" applyFill="1" applyBorder="1" applyAlignment="1" applyProtection="1">
      <alignment vertical="top" wrapText="1"/>
    </xf>
    <xf numFmtId="0" fontId="21" fillId="0" borderId="10" xfId="0" applyFont="1" applyBorder="1" applyAlignment="1" applyProtection="1">
      <alignment vertical="top" wrapText="1"/>
    </xf>
    <xf numFmtId="3" fontId="21" fillId="0" borderId="0" xfId="2" applyNumberFormat="1" applyFont="1" applyFill="1" applyBorder="1" applyAlignment="1" applyProtection="1">
      <alignment horizontal="right"/>
    </xf>
    <xf numFmtId="0" fontId="66" fillId="0" borderId="25" xfId="0" applyFont="1" applyBorder="1" applyAlignment="1" applyProtection="1">
      <alignment vertical="top" wrapText="1"/>
    </xf>
    <xf numFmtId="0" fontId="22" fillId="3" borderId="27" xfId="2" applyNumberFormat="1" applyFont="1" applyFill="1" applyBorder="1" applyAlignment="1" applyProtection="1">
      <alignment horizontal="center"/>
    </xf>
    <xf numFmtId="0" fontId="65" fillId="0" borderId="12" xfId="0" applyFont="1" applyBorder="1" applyAlignment="1" applyProtection="1">
      <alignment vertical="top" wrapText="1"/>
    </xf>
    <xf numFmtId="2" fontId="65" fillId="10" borderId="10" xfId="0" applyNumberFormat="1" applyFont="1" applyFill="1" applyBorder="1" applyAlignment="1" applyProtection="1">
      <protection locked="0"/>
    </xf>
    <xf numFmtId="0" fontId="65" fillId="0" borderId="14" xfId="0" applyFont="1" applyBorder="1" applyAlignment="1" applyProtection="1">
      <alignment vertical="top" wrapText="1"/>
    </xf>
    <xf numFmtId="0" fontId="66" fillId="0" borderId="26" xfId="0" applyFont="1" applyBorder="1" applyAlignment="1" applyProtection="1">
      <alignment vertical="top" wrapText="1"/>
    </xf>
    <xf numFmtId="2" fontId="56" fillId="0" borderId="10" xfId="0" applyNumberFormat="1" applyFont="1" applyFill="1" applyBorder="1" applyAlignment="1" applyProtection="1">
      <alignment vertical="top" wrapText="1"/>
      <protection locked="0"/>
    </xf>
    <xf numFmtId="0" fontId="65" fillId="0" borderId="9" xfId="0" applyFont="1" applyBorder="1" applyAlignment="1" applyProtection="1">
      <alignment vertical="top" wrapText="1"/>
    </xf>
    <xf numFmtId="10" fontId="65" fillId="10" borderId="10" xfId="21" applyNumberFormat="1" applyFont="1" applyFill="1" applyBorder="1" applyAlignment="1" applyProtection="1">
      <protection locked="0"/>
    </xf>
    <xf numFmtId="10" fontId="67" fillId="0" borderId="10" xfId="0" applyNumberFormat="1" applyFont="1" applyBorder="1" applyAlignment="1" applyProtection="1">
      <alignment horizontal="center" vertical="top" wrapText="1"/>
    </xf>
    <xf numFmtId="2" fontId="21" fillId="10" borderId="10" xfId="19" applyNumberFormat="1" applyFont="1" applyFill="1" applyBorder="1" applyAlignment="1" applyProtection="1">
      <alignment horizontal="right"/>
      <protection locked="0"/>
    </xf>
    <xf numFmtId="0" fontId="22" fillId="21" borderId="21" xfId="0" applyFont="1" applyFill="1" applyBorder="1" applyAlignment="1" applyProtection="1">
      <alignment horizontal="center" vertical="center"/>
    </xf>
    <xf numFmtId="0" fontId="22" fillId="21" borderId="14" xfId="0" applyFont="1" applyFill="1" applyBorder="1" applyAlignment="1" applyProtection="1">
      <alignment horizontal="center" vertical="center"/>
    </xf>
    <xf numFmtId="0" fontId="22" fillId="21" borderId="10" xfId="0" applyFont="1" applyFill="1" applyBorder="1" applyAlignment="1" applyProtection="1">
      <alignment horizontal="center" vertical="center"/>
    </xf>
    <xf numFmtId="165" fontId="21" fillId="11" borderId="16" xfId="0" applyNumberFormat="1" applyFont="1" applyFill="1" applyBorder="1" applyAlignment="1" applyProtection="1">
      <alignment horizontal="right"/>
      <protection locked="0"/>
    </xf>
    <xf numFmtId="10" fontId="21" fillId="10" borderId="27" xfId="19" applyNumberFormat="1" applyFont="1" applyFill="1" applyBorder="1" applyAlignment="1" applyProtection="1">
      <protection locked="0"/>
    </xf>
    <xf numFmtId="0" fontId="65" fillId="0" borderId="10" xfId="0" applyFont="1" applyBorder="1" applyAlignment="1" applyProtection="1">
      <alignment vertical="top" wrapText="1"/>
    </xf>
    <xf numFmtId="0" fontId="21" fillId="10" borderId="22" xfId="19" applyNumberFormat="1" applyFont="1" applyFill="1" applyBorder="1" applyAlignment="1" applyProtection="1">
      <alignment horizontal="right"/>
      <protection locked="0"/>
    </xf>
    <xf numFmtId="0" fontId="65" fillId="0" borderId="10" xfId="0" applyFont="1" applyFill="1" applyBorder="1" applyAlignment="1" applyProtection="1">
      <alignment vertical="top" wrapText="1"/>
    </xf>
    <xf numFmtId="0" fontId="22" fillId="21" borderId="22" xfId="0" applyFont="1" applyFill="1" applyBorder="1" applyAlignment="1" applyProtection="1">
      <alignment horizontal="center" vertical="center"/>
    </xf>
    <xf numFmtId="0" fontId="21" fillId="20" borderId="15" xfId="0" applyFont="1" applyFill="1" applyBorder="1" applyAlignment="1" applyProtection="1">
      <alignment vertical="top" wrapText="1"/>
      <protection locked="0"/>
    </xf>
    <xf numFmtId="0" fontId="21" fillId="27" borderId="15" xfId="0" applyFont="1" applyFill="1" applyBorder="1" applyAlignment="1" applyProtection="1">
      <alignment vertical="top" wrapText="1"/>
      <protection locked="0"/>
    </xf>
    <xf numFmtId="0" fontId="21" fillId="27" borderId="15" xfId="0" quotePrefix="1" applyFont="1" applyFill="1" applyBorder="1" applyAlignment="1" applyProtection="1">
      <alignment vertical="top" wrapText="1"/>
      <protection locked="0"/>
    </xf>
    <xf numFmtId="10" fontId="23" fillId="20" borderId="10" xfId="19" applyNumberFormat="1" applyFont="1" applyFill="1" applyBorder="1" applyAlignment="1" applyProtection="1">
      <protection locked="0"/>
    </xf>
    <xf numFmtId="3" fontId="61" fillId="0" borderId="0" xfId="7" applyNumberFormat="1" applyFont="1" applyAlignment="1" applyProtection="1">
      <alignment vertical="top" wrapText="1"/>
    </xf>
    <xf numFmtId="0" fontId="23" fillId="0" borderId="0" xfId="0" applyFont="1" applyBorder="1" applyAlignment="1" applyProtection="1"/>
    <xf numFmtId="0" fontId="23" fillId="8" borderId="0" xfId="0" applyFont="1" applyFill="1" applyBorder="1" applyAlignment="1" applyProtection="1"/>
    <xf numFmtId="0" fontId="23" fillId="0" borderId="0" xfId="0" applyFont="1" applyAlignment="1" applyProtection="1">
      <alignment horizontal="left"/>
    </xf>
    <xf numFmtId="3" fontId="29" fillId="0" borderId="0" xfId="0" applyNumberFormat="1" applyFont="1" applyBorder="1" applyAlignment="1" applyProtection="1">
      <alignment vertical="top" wrapText="1"/>
    </xf>
    <xf numFmtId="0" fontId="31" fillId="3" borderId="9" xfId="0" applyFont="1" applyFill="1" applyBorder="1" applyAlignment="1" applyProtection="1">
      <alignment vertical="top" wrapText="1"/>
    </xf>
    <xf numFmtId="0" fontId="25" fillId="3" borderId="7" xfId="0" applyFont="1" applyFill="1" applyBorder="1" applyAlignment="1" applyProtection="1">
      <alignment vertical="top" wrapText="1"/>
    </xf>
    <xf numFmtId="0" fontId="23" fillId="3" borderId="7" xfId="0" applyFont="1" applyFill="1" applyBorder="1" applyAlignment="1" applyProtection="1">
      <alignment vertical="top" wrapText="1"/>
    </xf>
    <xf numFmtId="0" fontId="23" fillId="0" borderId="0" xfId="0" applyFont="1" applyAlignment="1" applyProtection="1">
      <alignment vertical="top" wrapText="1"/>
    </xf>
    <xf numFmtId="3" fontId="23" fillId="0" borderId="0" xfId="0" applyNumberFormat="1" applyFont="1" applyFill="1" applyAlignment="1" applyProtection="1">
      <alignment vertical="top" wrapText="1"/>
    </xf>
    <xf numFmtId="0" fontId="31" fillId="0" borderId="9" xfId="0" applyFont="1" applyFill="1" applyBorder="1" applyAlignment="1" applyProtection="1">
      <alignment vertical="top" wrapText="1"/>
    </xf>
    <xf numFmtId="0" fontId="23" fillId="0" borderId="6" xfId="0" applyFont="1" applyBorder="1" applyAlignment="1" applyProtection="1">
      <alignment vertical="top" wrapText="1"/>
    </xf>
    <xf numFmtId="0" fontId="23" fillId="8" borderId="6" xfId="0" applyFont="1" applyFill="1" applyBorder="1" applyAlignment="1" applyProtection="1">
      <alignment vertical="top" wrapText="1"/>
    </xf>
    <xf numFmtId="3" fontId="23" fillId="0" borderId="6" xfId="0" applyNumberFormat="1" applyFont="1" applyBorder="1" applyAlignment="1" applyProtection="1">
      <alignment vertical="top" wrapText="1"/>
    </xf>
    <xf numFmtId="0" fontId="23" fillId="0" borderId="7" xfId="0" applyFont="1" applyBorder="1" applyAlignment="1" applyProtection="1">
      <alignment vertical="top" wrapText="1"/>
    </xf>
    <xf numFmtId="0" fontId="23" fillId="0" borderId="11" xfId="0" applyFont="1" applyBorder="1" applyAlignment="1" applyProtection="1">
      <alignment vertical="top" wrapText="1"/>
    </xf>
    <xf numFmtId="0" fontId="23" fillId="0" borderId="9" xfId="0" applyFont="1" applyBorder="1" applyAlignment="1" applyProtection="1">
      <alignment vertical="top" wrapText="1"/>
    </xf>
    <xf numFmtId="0" fontId="25" fillId="0" borderId="0" xfId="0" applyFont="1" applyBorder="1" applyAlignment="1" applyProtection="1">
      <alignment vertical="top" wrapText="1"/>
    </xf>
    <xf numFmtId="0" fontId="25" fillId="0" borderId="0" xfId="0" applyFont="1" applyFill="1" applyBorder="1" applyAlignment="1" applyProtection="1">
      <alignment horizontal="center"/>
    </xf>
    <xf numFmtId="0" fontId="25" fillId="0" borderId="0" xfId="0" applyFont="1" applyBorder="1" applyAlignment="1" applyProtection="1">
      <alignment horizontal="center"/>
    </xf>
    <xf numFmtId="0" fontId="25" fillId="8" borderId="0" xfId="0" applyFont="1" applyFill="1" applyBorder="1" applyAlignment="1" applyProtection="1">
      <alignment horizontal="center"/>
    </xf>
    <xf numFmtId="3" fontId="25" fillId="0" borderId="0" xfId="0" applyNumberFormat="1" applyFont="1" applyBorder="1" applyAlignment="1" applyProtection="1">
      <alignment horizontal="center"/>
    </xf>
    <xf numFmtId="0" fontId="32" fillId="0" borderId="0" xfId="0" applyFont="1" applyBorder="1" applyAlignment="1" applyProtection="1">
      <alignment wrapText="1"/>
    </xf>
    <xf numFmtId="0" fontId="25" fillId="0" borderId="0" xfId="0" applyFont="1" applyFill="1" applyBorder="1" applyAlignment="1" applyProtection="1">
      <alignment horizontal="center" wrapText="1"/>
    </xf>
    <xf numFmtId="0" fontId="25" fillId="0" borderId="0" xfId="0" applyFont="1" applyBorder="1" applyAlignment="1" applyProtection="1">
      <alignment horizontal="center" wrapText="1"/>
    </xf>
    <xf numFmtId="0" fontId="25" fillId="8" borderId="0" xfId="0" applyFont="1" applyFill="1" applyBorder="1" applyAlignment="1" applyProtection="1">
      <alignment horizontal="center" wrapText="1"/>
    </xf>
    <xf numFmtId="3" fontId="25" fillId="0" borderId="0" xfId="0" applyNumberFormat="1" applyFont="1" applyBorder="1" applyAlignment="1" applyProtection="1">
      <alignment horizontal="center" wrapText="1"/>
    </xf>
    <xf numFmtId="0" fontId="23" fillId="0" borderId="0" xfId="0" applyFont="1" applyAlignment="1" applyProtection="1">
      <alignment wrapText="1"/>
    </xf>
    <xf numFmtId="0" fontId="23" fillId="0" borderId="15" xfId="0" applyFont="1" applyBorder="1" applyAlignment="1" applyProtection="1">
      <alignment vertical="top" wrapText="1"/>
    </xf>
    <xf numFmtId="3" fontId="23" fillId="0" borderId="0" xfId="0" applyNumberFormat="1" applyFont="1" applyAlignment="1" applyProtection="1">
      <alignment vertical="top" wrapText="1"/>
    </xf>
    <xf numFmtId="0" fontId="25" fillId="0" borderId="11" xfId="0" applyFont="1" applyBorder="1" applyAlignment="1" applyProtection="1">
      <alignment vertical="top" wrapText="1"/>
    </xf>
    <xf numFmtId="0" fontId="32" fillId="0" borderId="3" xfId="0" applyFont="1" applyBorder="1" applyAlignment="1" applyProtection="1">
      <alignment wrapText="1"/>
    </xf>
    <xf numFmtId="0" fontId="23" fillId="8" borderId="0" xfId="0" applyFont="1" applyFill="1" applyAlignment="1" applyProtection="1">
      <alignment vertical="top" wrapText="1"/>
    </xf>
    <xf numFmtId="0" fontId="23" fillId="17" borderId="0" xfId="0" applyFont="1" applyFill="1" applyAlignment="1" applyProtection="1">
      <alignment vertical="top" wrapText="1"/>
    </xf>
    <xf numFmtId="3" fontId="23" fillId="17" borderId="0" xfId="0" applyNumberFormat="1" applyFont="1" applyFill="1" applyAlignment="1" applyProtection="1">
      <alignment vertical="top" wrapText="1"/>
    </xf>
    <xf numFmtId="0" fontId="25" fillId="0" borderId="9" xfId="0" applyFont="1" applyFill="1" applyBorder="1" applyAlignment="1" applyProtection="1">
      <alignment vertical="top" wrapText="1"/>
    </xf>
    <xf numFmtId="0" fontId="25" fillId="0" borderId="6" xfId="0" applyFont="1" applyFill="1" applyBorder="1" applyAlignment="1" applyProtection="1">
      <alignment vertical="top" wrapText="1"/>
    </xf>
    <xf numFmtId="0" fontId="23" fillId="0" borderId="6" xfId="0" applyFont="1" applyFill="1" applyBorder="1" applyAlignment="1" applyProtection="1">
      <alignment vertical="top" wrapText="1"/>
    </xf>
    <xf numFmtId="0" fontId="25" fillId="8" borderId="0" xfId="0" applyFont="1" applyFill="1" applyBorder="1" applyAlignment="1" applyProtection="1">
      <alignment wrapText="1"/>
    </xf>
    <xf numFmtId="0" fontId="25" fillId="8" borderId="0" xfId="0" applyFont="1" applyFill="1" applyBorder="1" applyAlignment="1" applyProtection="1"/>
    <xf numFmtId="3" fontId="23" fillId="8" borderId="0" xfId="0" applyNumberFormat="1" applyFont="1" applyFill="1" applyBorder="1" applyAlignment="1" applyProtection="1">
      <alignment horizontal="center"/>
    </xf>
    <xf numFmtId="0" fontId="30" fillId="8" borderId="0" xfId="0" applyFont="1" applyFill="1" applyBorder="1" applyAlignment="1" applyProtection="1">
      <alignment vertical="top" wrapText="1"/>
    </xf>
    <xf numFmtId="0" fontId="29" fillId="8" borderId="0" xfId="0" applyFont="1" applyFill="1" applyBorder="1" applyAlignment="1" applyProtection="1">
      <alignment vertical="top" wrapText="1"/>
    </xf>
    <xf numFmtId="0" fontId="23" fillId="8" borderId="15" xfId="0" applyFont="1" applyFill="1" applyBorder="1" applyAlignment="1" applyProtection="1">
      <alignment vertical="top" wrapText="1"/>
    </xf>
    <xf numFmtId="0" fontId="23" fillId="8" borderId="0" xfId="0" applyFont="1" applyFill="1" applyBorder="1" applyAlignment="1" applyProtection="1">
      <alignment vertical="top" wrapText="1"/>
    </xf>
    <xf numFmtId="0" fontId="30" fillId="8" borderId="0" xfId="0" applyFont="1" applyFill="1" applyBorder="1" applyAlignment="1" applyProtection="1">
      <alignment wrapText="1"/>
    </xf>
    <xf numFmtId="0" fontId="29" fillId="8" borderId="9" xfId="0" applyFont="1" applyFill="1" applyBorder="1" applyAlignment="1" applyProtection="1">
      <alignment vertical="top" wrapText="1"/>
    </xf>
    <xf numFmtId="3" fontId="23" fillId="8" borderId="7" xfId="0" applyNumberFormat="1" applyFont="1" applyFill="1" applyBorder="1" applyAlignment="1" applyProtection="1">
      <alignment horizontal="center"/>
    </xf>
    <xf numFmtId="3" fontId="23" fillId="8" borderId="11" xfId="0" applyNumberFormat="1" applyFont="1" applyFill="1" applyBorder="1" applyAlignment="1" applyProtection="1">
      <alignment horizontal="center"/>
    </xf>
    <xf numFmtId="0" fontId="25" fillId="23" borderId="0" xfId="0" applyFont="1" applyFill="1" applyBorder="1" applyAlignment="1" applyProtection="1">
      <alignment vertical="top" wrapText="1"/>
    </xf>
    <xf numFmtId="0" fontId="26" fillId="8" borderId="0" xfId="0" applyFont="1" applyFill="1" applyAlignment="1" applyProtection="1">
      <alignment vertical="top" wrapText="1"/>
    </xf>
    <xf numFmtId="3" fontId="26" fillId="0" borderId="0" xfId="0" applyNumberFormat="1" applyFont="1" applyFill="1" applyAlignment="1" applyProtection="1">
      <alignment vertical="top" wrapText="1"/>
    </xf>
    <xf numFmtId="3" fontId="26" fillId="0" borderId="0" xfId="0" applyNumberFormat="1" applyFont="1" applyAlignment="1" applyProtection="1">
      <alignment vertical="top" wrapText="1"/>
    </xf>
    <xf numFmtId="0" fontId="26" fillId="0" borderId="0" xfId="0" applyFont="1" applyAlignment="1" applyProtection="1">
      <alignment vertical="top" wrapText="1"/>
    </xf>
    <xf numFmtId="0" fontId="26" fillId="23" borderId="0" xfId="0" applyFont="1" applyFill="1" applyBorder="1" applyAlignment="1" applyProtection="1">
      <alignment horizontal="left" vertical="top" wrapText="1" indent="1"/>
    </xf>
    <xf numFmtId="0" fontId="26" fillId="23" borderId="0" xfId="0" applyFont="1" applyFill="1" applyBorder="1" applyAlignment="1" applyProtection="1">
      <alignment horizontal="left" vertical="top" wrapText="1" indent="2"/>
    </xf>
    <xf numFmtId="0" fontId="26" fillId="23" borderId="0" xfId="0" applyFont="1" applyFill="1" applyAlignment="1" applyProtection="1">
      <alignment horizontal="left" vertical="top" wrapText="1" indent="1"/>
    </xf>
    <xf numFmtId="0" fontId="26" fillId="23" borderId="0" xfId="0" applyFont="1" applyFill="1" applyBorder="1" applyAlignment="1" applyProtection="1">
      <alignment vertical="top" wrapText="1"/>
    </xf>
    <xf numFmtId="0" fontId="26" fillId="23" borderId="0" xfId="0" applyFont="1" applyFill="1" applyAlignment="1" applyProtection="1">
      <alignment vertical="top" wrapText="1"/>
    </xf>
    <xf numFmtId="0" fontId="25" fillId="8" borderId="0" xfId="0" applyFont="1" applyFill="1" applyBorder="1" applyAlignment="1" applyProtection="1">
      <alignment vertical="top" wrapText="1"/>
    </xf>
    <xf numFmtId="3" fontId="23" fillId="8" borderId="0" xfId="0" applyNumberFormat="1" applyFont="1" applyFill="1" applyAlignment="1" applyProtection="1">
      <alignment vertical="top" wrapText="1"/>
    </xf>
    <xf numFmtId="3" fontId="26" fillId="8" borderId="0" xfId="0" applyNumberFormat="1" applyFont="1" applyFill="1" applyAlignment="1" applyProtection="1">
      <alignment vertical="top" wrapText="1"/>
    </xf>
    <xf numFmtId="3" fontId="23" fillId="0" borderId="0" xfId="0" applyNumberFormat="1" applyFont="1" applyFill="1" applyBorder="1" applyAlignment="1" applyProtection="1">
      <alignment vertical="top" wrapText="1"/>
    </xf>
    <xf numFmtId="0" fontId="31" fillId="9" borderId="9" xfId="0" applyFont="1" applyFill="1" applyBorder="1" applyAlignment="1" applyProtection="1">
      <alignment vertical="top" wrapText="1"/>
    </xf>
    <xf numFmtId="0" fontId="25" fillId="9" borderId="7" xfId="0" applyFont="1" applyFill="1" applyBorder="1" applyAlignment="1" applyProtection="1">
      <alignment vertical="top" wrapText="1"/>
    </xf>
    <xf numFmtId="0" fontId="23" fillId="9" borderId="7" xfId="0" applyFont="1" applyFill="1" applyBorder="1" applyAlignment="1" applyProtection="1">
      <alignment vertical="top" wrapText="1"/>
    </xf>
    <xf numFmtId="0" fontId="26" fillId="9" borderId="7" xfId="0" applyFont="1" applyFill="1" applyBorder="1" applyAlignment="1" applyProtection="1">
      <alignment vertical="top" wrapText="1"/>
    </xf>
    <xf numFmtId="0" fontId="23" fillId="8" borderId="12" xfId="0" applyFont="1" applyFill="1" applyBorder="1" applyAlignment="1" applyProtection="1">
      <alignment vertical="top" wrapText="1"/>
    </xf>
    <xf numFmtId="0" fontId="23" fillId="8" borderId="6" xfId="0" applyFont="1" applyFill="1" applyBorder="1" applyAlignment="1" applyProtection="1">
      <alignment horizontal="center"/>
    </xf>
    <xf numFmtId="0" fontId="30" fillId="8" borderId="9" xfId="0" applyFont="1" applyFill="1" applyBorder="1" applyAlignment="1" applyProtection="1">
      <alignment vertical="top" wrapText="1"/>
    </xf>
    <xf numFmtId="0" fontId="25" fillId="8" borderId="15" xfId="0" applyFont="1" applyFill="1" applyBorder="1" applyAlignment="1" applyProtection="1">
      <alignment horizontal="center"/>
    </xf>
    <xf numFmtId="0" fontId="25" fillId="8" borderId="11" xfId="0" applyFont="1" applyFill="1" applyBorder="1" applyAlignment="1" applyProtection="1">
      <alignment horizontal="center"/>
    </xf>
    <xf numFmtId="0" fontId="37" fillId="8" borderId="0" xfId="0" applyFont="1" applyFill="1" applyAlignment="1" applyProtection="1">
      <alignment vertical="top" wrapText="1"/>
    </xf>
    <xf numFmtId="0" fontId="37" fillId="17" borderId="0" xfId="0" applyFont="1" applyFill="1" applyAlignment="1" applyProtection="1">
      <alignment vertical="top" wrapText="1"/>
    </xf>
    <xf numFmtId="0" fontId="25" fillId="8" borderId="15" xfId="0" applyFont="1" applyFill="1" applyBorder="1" applyAlignment="1" applyProtection="1">
      <alignment vertical="top" wrapText="1"/>
    </xf>
    <xf numFmtId="0" fontId="25" fillId="0" borderId="7" xfId="0" applyFont="1" applyFill="1" applyBorder="1" applyAlignment="1" applyProtection="1">
      <alignment horizontal="center"/>
    </xf>
    <xf numFmtId="3" fontId="25" fillId="8" borderId="7" xfId="0" applyNumberFormat="1" applyFont="1" applyFill="1" applyBorder="1" applyAlignment="1" applyProtection="1">
      <alignment horizontal="center"/>
    </xf>
    <xf numFmtId="0" fontId="25" fillId="0" borderId="7" xfId="0" applyFont="1" applyFill="1" applyBorder="1" applyAlignment="1" applyProtection="1">
      <alignment vertical="top" wrapText="1"/>
    </xf>
    <xf numFmtId="0" fontId="23" fillId="0" borderId="7" xfId="0" applyFont="1" applyFill="1" applyBorder="1" applyAlignment="1" applyProtection="1">
      <alignment vertical="top" wrapText="1"/>
    </xf>
    <xf numFmtId="0" fontId="23" fillId="0" borderId="0" xfId="0" applyFont="1" applyFill="1" applyAlignment="1" applyProtection="1">
      <alignment vertical="top" wrapText="1"/>
    </xf>
    <xf numFmtId="0" fontId="23" fillId="0" borderId="8" xfId="0" applyFont="1" applyFill="1" applyBorder="1" applyAlignment="1" applyProtection="1">
      <alignment vertical="top" wrapText="1"/>
    </xf>
    <xf numFmtId="0" fontId="23" fillId="0" borderId="0" xfId="0" applyFont="1" applyFill="1" applyBorder="1" applyAlignment="1" applyProtection="1">
      <alignment vertical="top" wrapText="1"/>
    </xf>
    <xf numFmtId="0" fontId="25" fillId="0" borderId="15" xfId="0" applyFont="1" applyFill="1" applyBorder="1" applyAlignment="1" applyProtection="1">
      <alignment horizontal="center"/>
    </xf>
    <xf numFmtId="0" fontId="23" fillId="23" borderId="15" xfId="0" applyFont="1" applyFill="1" applyBorder="1" applyAlignment="1" applyProtection="1">
      <alignment vertical="top" wrapText="1"/>
    </xf>
    <xf numFmtId="0" fontId="25" fillId="17" borderId="0" xfId="0" applyFont="1" applyFill="1" applyAlignment="1" applyProtection="1">
      <alignment vertical="top" wrapText="1"/>
    </xf>
    <xf numFmtId="0" fontId="23" fillId="17" borderId="16" xfId="0" applyFont="1" applyFill="1" applyBorder="1" applyAlignment="1" applyProtection="1">
      <alignment vertical="top" wrapText="1"/>
    </xf>
    <xf numFmtId="0" fontId="23" fillId="25" borderId="15" xfId="0" applyFont="1" applyFill="1" applyBorder="1" applyAlignment="1" applyProtection="1">
      <alignment vertical="top" wrapText="1"/>
    </xf>
    <xf numFmtId="0" fontId="26" fillId="8" borderId="9" xfId="0" applyFont="1" applyFill="1" applyBorder="1" applyAlignment="1" applyProtection="1">
      <alignment vertical="top" wrapText="1"/>
    </xf>
    <xf numFmtId="0" fontId="26" fillId="8" borderId="7" xfId="0" applyFont="1" applyFill="1" applyBorder="1" applyAlignment="1" applyProtection="1">
      <alignment vertical="top" wrapText="1"/>
    </xf>
    <xf numFmtId="0" fontId="23" fillId="8" borderId="16" xfId="0" applyFont="1" applyFill="1" applyBorder="1" applyAlignment="1" applyProtection="1">
      <alignment vertical="top" wrapText="1"/>
    </xf>
    <xf numFmtId="0" fontId="25" fillId="8" borderId="21" xfId="0" applyFont="1" applyFill="1" applyBorder="1" applyAlignment="1" applyProtection="1">
      <alignment vertical="top" wrapText="1"/>
    </xf>
    <xf numFmtId="166" fontId="25" fillId="8" borderId="7" xfId="0" applyNumberFormat="1" applyFont="1" applyFill="1" applyBorder="1" applyAlignment="1" applyProtection="1">
      <alignment horizontal="center"/>
    </xf>
    <xf numFmtId="165" fontId="25" fillId="18" borderId="10" xfId="0" applyNumberFormat="1" applyFont="1" applyFill="1" applyBorder="1" applyAlignment="1" applyProtection="1">
      <alignment horizontal="center"/>
    </xf>
    <xf numFmtId="9" fontId="25" fillId="8" borderId="7" xfId="0" applyNumberFormat="1" applyFont="1" applyFill="1" applyBorder="1" applyAlignment="1" applyProtection="1">
      <alignment horizontal="center"/>
    </xf>
    <xf numFmtId="166" fontId="25" fillId="8" borderId="11" xfId="0" applyNumberFormat="1" applyFont="1" applyFill="1" applyBorder="1" applyAlignment="1" applyProtection="1">
      <alignment horizontal="center"/>
    </xf>
    <xf numFmtId="167" fontId="25" fillId="18" borderId="10" xfId="0" applyNumberFormat="1" applyFont="1" applyFill="1" applyBorder="1" applyAlignment="1" applyProtection="1">
      <alignment horizontal="center"/>
    </xf>
    <xf numFmtId="167" fontId="25" fillId="8" borderId="7" xfId="0" applyNumberFormat="1" applyFont="1" applyFill="1" applyBorder="1" applyAlignment="1" applyProtection="1">
      <alignment horizontal="center"/>
    </xf>
    <xf numFmtId="0" fontId="23" fillId="8" borderId="11" xfId="0" applyFont="1" applyFill="1" applyBorder="1" applyAlignment="1" applyProtection="1">
      <alignment vertical="top" wrapText="1"/>
    </xf>
    <xf numFmtId="167" fontId="25" fillId="8" borderId="0" xfId="0" applyNumberFormat="1" applyFont="1" applyFill="1" applyBorder="1" applyAlignment="1" applyProtection="1">
      <alignment horizontal="center"/>
    </xf>
    <xf numFmtId="0" fontId="25" fillId="8" borderId="0" xfId="0" applyFont="1" applyFill="1" applyAlignment="1" applyProtection="1">
      <alignment vertical="top" wrapText="1"/>
    </xf>
    <xf numFmtId="0" fontId="30" fillId="8" borderId="0" xfId="0" applyFont="1" applyFill="1" applyAlignment="1" applyProtection="1">
      <alignment vertical="top" wrapText="1"/>
    </xf>
    <xf numFmtId="0" fontId="23" fillId="8" borderId="15" xfId="0" applyFont="1" applyFill="1" applyBorder="1" applyAlignment="1" applyProtection="1">
      <alignment horizontal="left" vertical="center" wrapText="1"/>
    </xf>
    <xf numFmtId="4" fontId="23" fillId="8" borderId="15" xfId="0" applyNumberFormat="1" applyFont="1" applyFill="1" applyBorder="1" applyAlignment="1" applyProtection="1">
      <alignment horizontal="center" vertical="center"/>
    </xf>
    <xf numFmtId="0" fontId="23" fillId="8" borderId="0" xfId="0" applyFont="1" applyFill="1" applyAlignment="1" applyProtection="1">
      <alignment horizontal="center" vertical="center"/>
    </xf>
    <xf numFmtId="0" fontId="23" fillId="8" borderId="15" xfId="0" applyFont="1" applyFill="1" applyBorder="1" applyAlignment="1" applyProtection="1">
      <alignment horizontal="center" vertical="center" wrapText="1"/>
    </xf>
    <xf numFmtId="0" fontId="23" fillId="8" borderId="7" xfId="0" applyFont="1" applyFill="1" applyBorder="1" applyAlignment="1" applyProtection="1">
      <alignment horizontal="center" vertical="center" wrapText="1"/>
    </xf>
    <xf numFmtId="3" fontId="23" fillId="8" borderId="7" xfId="0" applyNumberFormat="1" applyFont="1" applyFill="1" applyBorder="1" applyAlignment="1" applyProtection="1">
      <alignment horizontal="center" vertical="center"/>
    </xf>
    <xf numFmtId="0" fontId="23" fillId="0" borderId="15" xfId="0" applyFont="1" applyFill="1" applyBorder="1" applyAlignment="1" applyProtection="1">
      <alignment horizontal="left" vertical="center" wrapText="1"/>
    </xf>
    <xf numFmtId="4" fontId="23" fillId="23" borderId="15" xfId="0" applyNumberFormat="1" applyFont="1" applyFill="1" applyBorder="1" applyAlignment="1" applyProtection="1">
      <alignment horizontal="center" vertical="center"/>
    </xf>
    <xf numFmtId="0" fontId="23" fillId="0" borderId="15" xfId="0" applyFont="1" applyFill="1" applyBorder="1" applyAlignment="1" applyProtection="1">
      <alignment vertical="top" wrapText="1"/>
    </xf>
    <xf numFmtId="165" fontId="25" fillId="18" borderId="10" xfId="0" applyNumberFormat="1" applyFont="1" applyFill="1" applyBorder="1" applyAlignment="1" applyProtection="1">
      <alignment horizontal="center" wrapText="1"/>
    </xf>
    <xf numFmtId="167" fontId="25" fillId="18" borderId="10" xfId="0" applyNumberFormat="1" applyFont="1" applyFill="1" applyBorder="1" applyAlignment="1" applyProtection="1">
      <alignment horizontal="center" wrapText="1"/>
    </xf>
    <xf numFmtId="0" fontId="31" fillId="16" borderId="9" xfId="0" applyFont="1" applyFill="1" applyBorder="1" applyAlignment="1" applyProtection="1">
      <alignment wrapText="1"/>
    </xf>
    <xf numFmtId="0" fontId="23" fillId="9" borderId="7" xfId="0" applyFont="1" applyFill="1" applyBorder="1" applyAlignment="1" applyProtection="1"/>
    <xf numFmtId="0" fontId="26" fillId="8" borderId="12" xfId="0" applyFont="1" applyFill="1" applyBorder="1" applyAlignment="1" applyProtection="1">
      <alignment vertical="top" wrapText="1"/>
    </xf>
    <xf numFmtId="0" fontId="26" fillId="8" borderId="6" xfId="0" applyFont="1" applyFill="1" applyBorder="1" applyAlignment="1" applyProtection="1">
      <alignment vertical="top" wrapText="1"/>
    </xf>
    <xf numFmtId="0" fontId="23" fillId="8" borderId="8" xfId="0" applyFont="1" applyFill="1" applyBorder="1" applyAlignment="1" applyProtection="1">
      <alignment vertical="top" wrapText="1"/>
    </xf>
    <xf numFmtId="0" fontId="25" fillId="8" borderId="13" xfId="0" applyFont="1" applyFill="1" applyBorder="1" applyAlignment="1" applyProtection="1">
      <alignment horizontal="center"/>
    </xf>
    <xf numFmtId="0" fontId="25" fillId="8" borderId="16" xfId="0" applyFont="1" applyFill="1" applyBorder="1" applyAlignment="1" applyProtection="1">
      <alignment horizontal="center"/>
    </xf>
    <xf numFmtId="166" fontId="23" fillId="8" borderId="7" xfId="0" applyNumberFormat="1" applyFont="1" applyFill="1" applyBorder="1" applyAlignment="1" applyProtection="1">
      <alignment horizontal="center"/>
    </xf>
    <xf numFmtId="166" fontId="23" fillId="8" borderId="11" xfId="0" applyNumberFormat="1" applyFont="1" applyFill="1" applyBorder="1" applyAlignment="1" applyProtection="1">
      <alignment horizontal="center"/>
    </xf>
    <xf numFmtId="0" fontId="23" fillId="0" borderId="16" xfId="0" applyFont="1" applyFill="1" applyBorder="1" applyAlignment="1" applyProtection="1">
      <alignment vertical="top" wrapText="1"/>
    </xf>
    <xf numFmtId="10" fontId="23" fillId="8" borderId="16" xfId="0" applyNumberFormat="1" applyFont="1" applyFill="1" applyBorder="1" applyAlignment="1" applyProtection="1">
      <alignment horizontal="center"/>
    </xf>
    <xf numFmtId="0" fontId="25" fillId="0" borderId="15" xfId="0" applyFont="1" applyFill="1" applyBorder="1" applyAlignment="1" applyProtection="1">
      <alignment vertical="top" wrapText="1"/>
    </xf>
    <xf numFmtId="166" fontId="25" fillId="0" borderId="7" xfId="0" applyNumberFormat="1" applyFont="1" applyFill="1" applyBorder="1" applyAlignment="1" applyProtection="1">
      <alignment horizontal="center"/>
    </xf>
    <xf numFmtId="0" fontId="24" fillId="8" borderId="0" xfId="0" applyFont="1" applyFill="1" applyBorder="1" applyAlignment="1" applyProtection="1">
      <alignment vertical="top" wrapText="1"/>
    </xf>
    <xf numFmtId="3" fontId="23" fillId="9" borderId="7" xfId="0" applyNumberFormat="1" applyFont="1" applyFill="1" applyBorder="1" applyAlignment="1" applyProtection="1">
      <alignment vertical="top" wrapText="1"/>
    </xf>
    <xf numFmtId="3" fontId="23" fillId="8" borderId="7" xfId="0" applyNumberFormat="1" applyFont="1" applyFill="1" applyBorder="1" applyAlignment="1" applyProtection="1">
      <alignment vertical="top" wrapText="1"/>
    </xf>
    <xf numFmtId="0" fontId="25" fillId="8" borderId="16" xfId="0" applyFont="1" applyFill="1" applyBorder="1" applyAlignment="1" applyProtection="1">
      <alignment vertical="top" wrapText="1"/>
    </xf>
    <xf numFmtId="3" fontId="25" fillId="8" borderId="16" xfId="0" applyNumberFormat="1" applyFont="1" applyFill="1" applyBorder="1" applyAlignment="1" applyProtection="1">
      <alignment horizontal="center"/>
    </xf>
    <xf numFmtId="0" fontId="29" fillId="8" borderId="15" xfId="0" applyFont="1" applyFill="1" applyBorder="1" applyAlignment="1" applyProtection="1">
      <alignment vertical="top" wrapText="1"/>
    </xf>
    <xf numFmtId="0" fontId="26" fillId="0" borderId="0" xfId="0" applyFont="1" applyFill="1" applyAlignment="1" applyProtection="1">
      <alignment vertical="top" wrapText="1"/>
    </xf>
    <xf numFmtId="0" fontId="29" fillId="0" borderId="15" xfId="0" applyFont="1" applyFill="1" applyBorder="1" applyAlignment="1" applyProtection="1">
      <alignment vertical="top" wrapText="1"/>
    </xf>
    <xf numFmtId="0" fontId="25" fillId="0" borderId="15" xfId="0" applyFont="1" applyBorder="1" applyAlignment="1" applyProtection="1">
      <alignment vertical="top" wrapText="1"/>
    </xf>
    <xf numFmtId="0" fontId="27" fillId="0" borderId="9" xfId="0" applyFont="1" applyFill="1" applyBorder="1" applyAlignment="1" applyProtection="1">
      <alignment vertical="top" wrapText="1"/>
    </xf>
    <xf numFmtId="3" fontId="23" fillId="0" borderId="7" xfId="0" applyNumberFormat="1" applyFont="1" applyFill="1" applyBorder="1" applyAlignment="1" applyProtection="1">
      <alignment vertical="top" wrapText="1"/>
    </xf>
    <xf numFmtId="0" fontId="25" fillId="0" borderId="11" xfId="0" applyFont="1" applyFill="1" applyBorder="1" applyAlignment="1" applyProtection="1">
      <alignment horizontal="center"/>
    </xf>
    <xf numFmtId="0" fontId="25" fillId="0" borderId="16" xfId="0" applyFont="1" applyFill="1" applyBorder="1" applyAlignment="1" applyProtection="1">
      <alignment vertical="top" wrapText="1"/>
    </xf>
    <xf numFmtId="166" fontId="25" fillId="0" borderId="16" xfId="0" applyNumberFormat="1" applyFont="1" applyFill="1" applyBorder="1" applyAlignment="1" applyProtection="1">
      <alignment horizontal="center"/>
    </xf>
    <xf numFmtId="166" fontId="25" fillId="8" borderId="16" xfId="0" applyNumberFormat="1" applyFont="1" applyFill="1" applyBorder="1" applyAlignment="1" applyProtection="1">
      <alignment horizontal="center"/>
    </xf>
    <xf numFmtId="1" fontId="23" fillId="0" borderId="0" xfId="0" applyNumberFormat="1" applyFont="1" applyFill="1" applyAlignment="1" applyProtection="1">
      <alignment vertical="top" wrapText="1"/>
    </xf>
    <xf numFmtId="0" fontId="23" fillId="0" borderId="15" xfId="0" applyFont="1" applyFill="1" applyBorder="1" applyAlignment="1" applyProtection="1">
      <alignment horizontal="left" wrapText="1" indent="1"/>
    </xf>
    <xf numFmtId="0" fontId="59" fillId="0" borderId="0" xfId="0" applyFont="1" applyFill="1" applyAlignment="1" applyProtection="1">
      <alignment vertical="top" wrapText="1"/>
    </xf>
    <xf numFmtId="3" fontId="59" fillId="0" borderId="0" xfId="0" applyNumberFormat="1" applyFont="1" applyAlignment="1" applyProtection="1">
      <alignment vertical="top" wrapText="1"/>
    </xf>
    <xf numFmtId="0" fontId="59" fillId="0" borderId="0" xfId="0" applyFont="1" applyAlignment="1" applyProtection="1">
      <alignment vertical="top" wrapText="1"/>
    </xf>
    <xf numFmtId="4" fontId="59" fillId="0" borderId="0" xfId="0" applyNumberFormat="1" applyFont="1" applyFill="1" applyAlignment="1" applyProtection="1">
      <alignment vertical="top" wrapText="1"/>
    </xf>
    <xf numFmtId="3" fontId="59" fillId="0" borderId="0" xfId="0" applyNumberFormat="1" applyFont="1" applyFill="1" applyAlignment="1" applyProtection="1">
      <alignment vertical="top" wrapText="1"/>
    </xf>
    <xf numFmtId="4" fontId="23" fillId="0" borderId="0" xfId="0" applyNumberFormat="1" applyFont="1" applyFill="1" applyAlignment="1" applyProtection="1">
      <alignment vertical="top" wrapText="1"/>
    </xf>
    <xf numFmtId="0" fontId="25" fillId="0" borderId="0" xfId="0" applyFont="1" applyFill="1" applyAlignment="1" applyProtection="1">
      <alignment vertical="top" wrapText="1"/>
    </xf>
    <xf numFmtId="1" fontId="23" fillId="17" borderId="0" xfId="0" applyNumberFormat="1" applyFont="1" applyFill="1" applyAlignment="1" applyProtection="1">
      <alignment vertical="top" wrapText="1"/>
    </xf>
    <xf numFmtId="0" fontId="2" fillId="8" borderId="0" xfId="0" applyFont="1" applyFill="1" applyAlignment="1" applyProtection="1">
      <alignment vertical="top" wrapText="1"/>
    </xf>
    <xf numFmtId="0" fontId="25" fillId="8" borderId="7" xfId="0" applyFont="1" applyFill="1" applyBorder="1" applyAlignment="1" applyProtection="1">
      <alignment vertical="top" wrapText="1"/>
    </xf>
    <xf numFmtId="0" fontId="2" fillId="9" borderId="7" xfId="0" applyFont="1" applyFill="1" applyBorder="1" applyAlignment="1" applyProtection="1">
      <alignment vertical="top" wrapText="1"/>
    </xf>
    <xf numFmtId="0" fontId="26" fillId="8" borderId="8" xfId="0" applyFont="1" applyFill="1" applyBorder="1" applyAlignment="1" applyProtection="1">
      <alignment vertical="top" wrapText="1"/>
    </xf>
    <xf numFmtId="0" fontId="26" fillId="8" borderId="0" xfId="0" applyFont="1" applyFill="1" applyBorder="1" applyAlignment="1" applyProtection="1">
      <alignment vertical="top" wrapText="1"/>
    </xf>
    <xf numFmtId="0" fontId="15" fillId="8" borderId="6" xfId="0" applyFont="1" applyFill="1" applyBorder="1" applyAlignment="1" applyProtection="1">
      <alignment vertical="top" wrapText="1"/>
    </xf>
    <xf numFmtId="0" fontId="0" fillId="8" borderId="0" xfId="0" applyFont="1" applyFill="1" applyAlignment="1" applyProtection="1">
      <alignment vertical="top" wrapText="1"/>
    </xf>
    <xf numFmtId="0" fontId="25" fillId="8" borderId="12" xfId="0" applyFont="1" applyFill="1" applyBorder="1" applyAlignment="1" applyProtection="1">
      <alignment vertical="top" wrapText="1"/>
    </xf>
    <xf numFmtId="0" fontId="23" fillId="7" borderId="16" xfId="0" applyFont="1" applyFill="1" applyBorder="1" applyAlignment="1" applyProtection="1">
      <alignment vertical="top" wrapText="1"/>
    </xf>
    <xf numFmtId="0" fontId="23" fillId="7" borderId="15" xfId="0" applyFont="1" applyFill="1" applyBorder="1" applyAlignment="1" applyProtection="1">
      <alignment vertical="top" wrapText="1"/>
    </xf>
    <xf numFmtId="0" fontId="25" fillId="7" borderId="15" xfId="0" applyFont="1" applyFill="1" applyBorder="1" applyAlignment="1" applyProtection="1">
      <alignment vertical="top" wrapText="1"/>
    </xf>
    <xf numFmtId="0" fontId="25" fillId="7" borderId="12" xfId="0" applyFont="1" applyFill="1" applyBorder="1" applyAlignment="1" applyProtection="1">
      <alignment vertical="top" wrapText="1"/>
    </xf>
    <xf numFmtId="0" fontId="0" fillId="0" borderId="0" xfId="0" applyFont="1" applyFill="1" applyAlignment="1" applyProtection="1">
      <alignment vertical="top" wrapText="1"/>
    </xf>
    <xf numFmtId="0" fontId="0" fillId="17" borderId="0" xfId="0" applyFont="1" applyFill="1" applyAlignment="1" applyProtection="1">
      <alignment vertical="top" wrapText="1"/>
    </xf>
    <xf numFmtId="0" fontId="25" fillId="0" borderId="23" xfId="0" applyFont="1" applyFill="1" applyBorder="1" applyAlignment="1" applyProtection="1">
      <alignment vertical="top" wrapText="1"/>
    </xf>
    <xf numFmtId="0" fontId="25" fillId="8" borderId="23" xfId="0" applyFont="1" applyFill="1" applyBorder="1" applyAlignment="1" applyProtection="1">
      <alignment vertical="top" wrapText="1"/>
    </xf>
    <xf numFmtId="0" fontId="43" fillId="23" borderId="0" xfId="0" applyFont="1" applyFill="1" applyBorder="1" applyAlignment="1" applyProtection="1">
      <alignment vertical="top" wrapText="1"/>
    </xf>
    <xf numFmtId="0" fontId="17" fillId="9" borderId="9" xfId="0" applyFont="1" applyFill="1" applyBorder="1" applyAlignment="1" applyProtection="1">
      <alignment vertical="top" wrapText="1"/>
    </xf>
    <xf numFmtId="0" fontId="2" fillId="8" borderId="8" xfId="0" applyFont="1" applyFill="1" applyBorder="1" applyAlignment="1" applyProtection="1">
      <alignment vertical="top" wrapText="1"/>
    </xf>
    <xf numFmtId="0" fontId="23" fillId="19" borderId="16" xfId="0" applyFont="1" applyFill="1" applyBorder="1" applyAlignment="1" applyProtection="1">
      <alignment vertical="top" wrapText="1"/>
    </xf>
    <xf numFmtId="0" fontId="23" fillId="19" borderId="15" xfId="0" applyFont="1" applyFill="1" applyBorder="1" applyAlignment="1" applyProtection="1">
      <alignment vertical="top" wrapText="1"/>
    </xf>
    <xf numFmtId="0" fontId="25" fillId="19" borderId="15" xfId="0" applyFont="1" applyFill="1" applyBorder="1" applyAlignment="1" applyProtection="1">
      <alignment vertical="top" wrapText="1"/>
    </xf>
    <xf numFmtId="0" fontId="2" fillId="0" borderId="0" xfId="0" applyFont="1" applyFill="1" applyAlignment="1" applyProtection="1">
      <alignment vertical="top" wrapText="1"/>
    </xf>
    <xf numFmtId="0" fontId="25" fillId="23" borderId="22" xfId="0" applyFont="1" applyFill="1" applyBorder="1" applyAlignment="1" applyProtection="1">
      <alignment vertical="top" wrapText="1"/>
    </xf>
    <xf numFmtId="0" fontId="2" fillId="23" borderId="0" xfId="0" applyFont="1" applyFill="1" applyBorder="1" applyAlignment="1" applyProtection="1">
      <alignment vertical="top" wrapText="1"/>
    </xf>
    <xf numFmtId="3" fontId="2" fillId="0" borderId="0" xfId="0" applyNumberFormat="1" applyFont="1" applyFill="1" applyAlignment="1" applyProtection="1">
      <alignment vertical="top" wrapText="1"/>
    </xf>
    <xf numFmtId="3" fontId="2" fillId="17" borderId="0" xfId="0" applyNumberFormat="1" applyFont="1" applyFill="1" applyAlignment="1" applyProtection="1">
      <alignment vertical="top" wrapText="1"/>
    </xf>
    <xf numFmtId="10" fontId="2" fillId="0" borderId="0" xfId="21" applyNumberFormat="1" applyFont="1" applyFill="1" applyAlignment="1" applyProtection="1">
      <alignment vertical="top" wrapText="1"/>
    </xf>
    <xf numFmtId="2" fontId="2" fillId="8" borderId="0" xfId="0" applyNumberFormat="1" applyFont="1" applyFill="1" applyAlignment="1" applyProtection="1">
      <alignment vertical="top" wrapText="1"/>
    </xf>
    <xf numFmtId="0" fontId="2" fillId="17" borderId="0" xfId="0" applyFont="1" applyFill="1" applyAlignment="1" applyProtection="1">
      <alignment vertical="top" wrapText="1"/>
    </xf>
    <xf numFmtId="10" fontId="2" fillId="8" borderId="0" xfId="21" applyNumberFormat="1" applyFont="1" applyFill="1" applyAlignment="1" applyProtection="1">
      <alignment vertical="top" wrapText="1"/>
    </xf>
    <xf numFmtId="10" fontId="2" fillId="0" borderId="0" xfId="0" applyNumberFormat="1" applyFont="1" applyFill="1" applyAlignment="1" applyProtection="1">
      <alignment vertical="top" wrapText="1"/>
    </xf>
    <xf numFmtId="3" fontId="2" fillId="8" borderId="0" xfId="0" applyNumberFormat="1" applyFont="1" applyFill="1" applyAlignment="1" applyProtection="1">
      <alignment vertical="top" wrapText="1"/>
    </xf>
    <xf numFmtId="170" fontId="2" fillId="8" borderId="0" xfId="4" applyNumberFormat="1" applyFont="1" applyFill="1" applyAlignment="1" applyProtection="1">
      <alignment vertical="top" wrapText="1"/>
    </xf>
    <xf numFmtId="0" fontId="27" fillId="9" borderId="9" xfId="0" applyFont="1" applyFill="1" applyBorder="1" applyAlignment="1" applyProtection="1"/>
    <xf numFmtId="3" fontId="23" fillId="8" borderId="16" xfId="0" applyNumberFormat="1" applyFont="1" applyFill="1" applyBorder="1" applyAlignment="1" applyProtection="1">
      <alignment vertical="top" wrapText="1"/>
    </xf>
    <xf numFmtId="0" fontId="25" fillId="8" borderId="15" xfId="0" applyFont="1" applyFill="1" applyBorder="1" applyAlignment="1" applyProtection="1">
      <alignment wrapText="1"/>
    </xf>
    <xf numFmtId="165" fontId="25" fillId="8" borderId="15" xfId="0" applyNumberFormat="1" applyFont="1" applyFill="1" applyBorder="1" applyAlignment="1" applyProtection="1">
      <alignment horizontal="center" wrapText="1"/>
    </xf>
    <xf numFmtId="0" fontId="40" fillId="0" borderId="0" xfId="0" applyFont="1" applyFill="1" applyBorder="1" applyAlignment="1" applyProtection="1">
      <alignment vertical="center"/>
    </xf>
    <xf numFmtId="0" fontId="25" fillId="8" borderId="0" xfId="0" applyFont="1" applyFill="1" applyBorder="1" applyAlignment="1" applyProtection="1">
      <alignment horizontal="center" vertical="top" wrapText="1"/>
    </xf>
    <xf numFmtId="0" fontId="25" fillId="0" borderId="0" xfId="0" applyFont="1" applyFill="1" applyBorder="1" applyAlignment="1" applyProtection="1">
      <alignment vertical="top" wrapText="1"/>
    </xf>
    <xf numFmtId="3" fontId="25" fillId="0" borderId="0" xfId="0" applyNumberFormat="1" applyFont="1" applyFill="1" applyBorder="1" applyAlignment="1" applyProtection="1">
      <alignment vertical="top" wrapText="1"/>
    </xf>
    <xf numFmtId="3" fontId="23" fillId="0" borderId="0" xfId="19" applyNumberFormat="1" applyFont="1" applyFill="1" applyBorder="1" applyAlignment="1" applyProtection="1">
      <alignment horizontal="right"/>
    </xf>
    <xf numFmtId="0" fontId="26" fillId="0" borderId="0" xfId="0" applyFont="1" applyFill="1" applyBorder="1" applyAlignment="1" applyProtection="1">
      <alignment vertical="top" wrapText="1"/>
    </xf>
    <xf numFmtId="3" fontId="25" fillId="8" borderId="0" xfId="0" applyNumberFormat="1" applyFont="1" applyFill="1" applyBorder="1" applyAlignment="1" applyProtection="1">
      <alignment vertical="top" wrapText="1"/>
    </xf>
    <xf numFmtId="10" fontId="25" fillId="8" borderId="0" xfId="21" applyNumberFormat="1" applyFont="1" applyFill="1" applyBorder="1" applyAlignment="1" applyProtection="1">
      <alignment vertical="top" wrapText="1"/>
    </xf>
    <xf numFmtId="0" fontId="31" fillId="8" borderId="0" xfId="0" applyFont="1" applyFill="1" applyBorder="1" applyAlignment="1" applyProtection="1">
      <alignment vertical="center"/>
    </xf>
    <xf numFmtId="0" fontId="25" fillId="8" borderId="0" xfId="0" applyFont="1" applyFill="1" applyBorder="1" applyAlignment="1" applyProtection="1">
      <alignment vertical="center" wrapText="1"/>
    </xf>
    <xf numFmtId="3" fontId="25" fillId="8" borderId="0" xfId="0" applyNumberFormat="1" applyFont="1" applyFill="1" applyBorder="1" applyAlignment="1" applyProtection="1">
      <alignment horizontal="center" vertical="center" wrapText="1"/>
    </xf>
    <xf numFmtId="10" fontId="28" fillId="8" borderId="0" xfId="21" applyNumberFormat="1" applyFont="1" applyFill="1" applyBorder="1" applyAlignment="1" applyProtection="1">
      <alignment vertical="top" wrapText="1"/>
    </xf>
    <xf numFmtId="0" fontId="61" fillId="0" borderId="0" xfId="0" applyFont="1" applyAlignment="1" applyProtection="1">
      <alignment vertical="top" wrapText="1"/>
    </xf>
    <xf numFmtId="0" fontId="2" fillId="0" borderId="0" xfId="0" applyFont="1" applyAlignment="1" applyProtection="1">
      <alignment vertical="top" wrapText="1"/>
    </xf>
    <xf numFmtId="9" fontId="23" fillId="0" borderId="10" xfId="0" applyNumberFormat="1" applyFont="1" applyBorder="1" applyAlignment="1" applyProtection="1">
      <alignment vertical="top" wrapText="1"/>
    </xf>
    <xf numFmtId="0" fontId="35" fillId="0" borderId="0" xfId="19" applyFont="1" applyProtection="1">
      <alignment vertical="top"/>
    </xf>
    <xf numFmtId="0" fontId="28" fillId="8" borderId="9" xfId="0" applyFont="1" applyFill="1" applyBorder="1" applyAlignment="1" applyProtection="1">
      <alignment horizontal="left"/>
    </xf>
    <xf numFmtId="0" fontId="23" fillId="0" borderId="17" xfId="0" applyFont="1" applyBorder="1" applyAlignment="1" applyProtection="1"/>
    <xf numFmtId="0" fontId="23" fillId="8" borderId="9" xfId="0" applyNumberFormat="1" applyFont="1" applyFill="1" applyBorder="1" applyAlignment="1" applyProtection="1"/>
    <xf numFmtId="0" fontId="23" fillId="0" borderId="10" xfId="0" applyFont="1" applyFill="1" applyBorder="1" applyAlignment="1" applyProtection="1">
      <alignment vertical="top" wrapText="1"/>
    </xf>
    <xf numFmtId="0" fontId="23" fillId="8" borderId="9" xfId="0" applyNumberFormat="1" applyFont="1" applyFill="1" applyBorder="1" applyAlignment="1" applyProtection="1">
      <alignment wrapText="1"/>
    </xf>
    <xf numFmtId="0" fontId="23" fillId="8" borderId="14" xfId="0" applyNumberFormat="1" applyFont="1" applyFill="1" applyBorder="1" applyAlignment="1" applyProtection="1"/>
    <xf numFmtId="0" fontId="23" fillId="8" borderId="10" xfId="0" applyFont="1" applyFill="1" applyBorder="1" applyAlignment="1" applyProtection="1"/>
    <xf numFmtId="0" fontId="23" fillId="8" borderId="18" xfId="0" applyFont="1" applyFill="1" applyBorder="1" applyAlignment="1" applyProtection="1">
      <alignment vertical="top" wrapText="1"/>
    </xf>
    <xf numFmtId="0" fontId="25" fillId="8" borderId="18" xfId="0" applyFont="1" applyFill="1" applyBorder="1" applyAlignment="1" applyProtection="1">
      <alignment wrapText="1"/>
    </xf>
    <xf numFmtId="0" fontId="23" fillId="8" borderId="18" xfId="0" applyFont="1" applyFill="1" applyBorder="1" applyAlignment="1" applyProtection="1"/>
    <xf numFmtId="0" fontId="28" fillId="0" borderId="9" xfId="0" applyFont="1" applyFill="1" applyBorder="1" applyAlignment="1" applyProtection="1">
      <alignment vertical="top" wrapText="1"/>
    </xf>
    <xf numFmtId="0" fontId="29" fillId="0" borderId="12" xfId="0" applyFont="1" applyBorder="1" applyAlignment="1" applyProtection="1"/>
    <xf numFmtId="0" fontId="23" fillId="0" borderId="13" xfId="0" applyFont="1" applyBorder="1" applyAlignment="1" applyProtection="1">
      <alignment vertical="top" wrapText="1"/>
    </xf>
    <xf numFmtId="0" fontId="23" fillId="0" borderId="10" xfId="19" applyNumberFormat="1" applyFont="1" applyBorder="1" applyAlignment="1" applyProtection="1">
      <alignment horizontal="center"/>
    </xf>
    <xf numFmtId="0" fontId="23" fillId="0" borderId="14" xfId="0" applyFont="1" applyBorder="1" applyAlignment="1" applyProtection="1">
      <alignment vertical="top" wrapText="1"/>
    </xf>
    <xf numFmtId="0" fontId="23" fillId="0" borderId="10" xfId="19" applyNumberFormat="1" applyFont="1" applyFill="1" applyBorder="1" applyAlignment="1" applyProtection="1">
      <alignment horizontal="center"/>
    </xf>
    <xf numFmtId="9" fontId="23" fillId="0" borderId="10" xfId="21" applyFont="1" applyBorder="1" applyAlignment="1" applyProtection="1">
      <alignment horizontal="center"/>
    </xf>
    <xf numFmtId="165" fontId="23" fillId="20" borderId="10" xfId="19" applyNumberFormat="1" applyFont="1" applyFill="1" applyBorder="1" applyAlignment="1" applyProtection="1">
      <protection locked="0"/>
    </xf>
    <xf numFmtId="9" fontId="23" fillId="20" borderId="10" xfId="0" applyNumberFormat="1" applyFont="1" applyFill="1" applyBorder="1" applyAlignment="1" applyProtection="1">
      <alignment vertical="top" wrapText="1"/>
      <protection locked="0"/>
    </xf>
    <xf numFmtId="4" fontId="21" fillId="20" borderId="10" xfId="0" applyNumberFormat="1" applyFont="1" applyFill="1" applyBorder="1" applyAlignment="1" applyProtection="1">
      <alignment horizontal="right" vertical="center"/>
      <protection locked="0"/>
    </xf>
    <xf numFmtId="4" fontId="21" fillId="20" borderId="18" xfId="0" applyNumberFormat="1" applyFont="1" applyFill="1" applyBorder="1" applyAlignment="1" applyProtection="1">
      <alignment horizontal="right" vertical="center"/>
      <protection locked="0"/>
    </xf>
    <xf numFmtId="4" fontId="53" fillId="20" borderId="10" xfId="0" applyNumberFormat="1" applyFont="1" applyFill="1" applyBorder="1" applyAlignment="1" applyProtection="1">
      <alignment horizontal="right" vertical="center"/>
      <protection locked="0"/>
    </xf>
    <xf numFmtId="4" fontId="55" fillId="20" borderId="10" xfId="0" applyNumberFormat="1" applyFont="1" applyFill="1" applyBorder="1" applyAlignment="1" applyProtection="1">
      <alignment horizontal="right" vertical="center"/>
      <protection locked="0"/>
    </xf>
    <xf numFmtId="4" fontId="54" fillId="20" borderId="10" xfId="0" applyNumberFormat="1" applyFont="1" applyFill="1" applyBorder="1" applyAlignment="1" applyProtection="1">
      <alignment horizontal="right" vertical="center"/>
      <protection locked="0"/>
    </xf>
    <xf numFmtId="0" fontId="21" fillId="20" borderId="0" xfId="0" applyFont="1" applyFill="1" applyBorder="1" applyAlignment="1" applyProtection="1">
      <alignment horizontal="right" vertical="center"/>
      <protection locked="0"/>
    </xf>
    <xf numFmtId="4" fontId="52" fillId="20" borderId="19" xfId="0" applyNumberFormat="1" applyFont="1" applyFill="1" applyBorder="1" applyAlignment="1" applyProtection="1">
      <protection locked="0"/>
    </xf>
    <xf numFmtId="0" fontId="21" fillId="20" borderId="10" xfId="0" applyFont="1" applyFill="1" applyBorder="1" applyAlignment="1" applyProtection="1">
      <protection locked="0"/>
    </xf>
    <xf numFmtId="4" fontId="52" fillId="20" borderId="26" xfId="0" applyNumberFormat="1" applyFont="1" applyFill="1" applyBorder="1" applyAlignment="1" applyProtection="1">
      <protection locked="0"/>
    </xf>
    <xf numFmtId="0" fontId="21" fillId="20" borderId="19" xfId="0" applyFont="1" applyFill="1" applyBorder="1" applyAlignment="1" applyProtection="1">
      <protection locked="0"/>
    </xf>
    <xf numFmtId="4" fontId="21" fillId="20" borderId="19" xfId="0" applyNumberFormat="1" applyFont="1" applyFill="1" applyBorder="1" applyAlignment="1" applyProtection="1">
      <protection locked="0"/>
    </xf>
    <xf numFmtId="4" fontId="21" fillId="20" borderId="26" xfId="0" applyNumberFormat="1" applyFont="1" applyFill="1" applyBorder="1" applyAlignment="1" applyProtection="1">
      <protection locked="0"/>
    </xf>
    <xf numFmtId="4" fontId="49" fillId="20" borderId="27" xfId="0" applyNumberFormat="1" applyFont="1" applyFill="1" applyBorder="1" applyAlignment="1" applyProtection="1">
      <protection locked="0"/>
    </xf>
    <xf numFmtId="4" fontId="49" fillId="20" borderId="31" xfId="0" applyNumberFormat="1" applyFont="1" applyFill="1" applyBorder="1" applyAlignment="1" applyProtection="1">
      <protection locked="0"/>
    </xf>
    <xf numFmtId="4" fontId="21" fillId="20" borderId="19" xfId="0" applyNumberFormat="1" applyFont="1" applyFill="1" applyBorder="1" applyAlignment="1" applyProtection="1">
      <alignment horizontal="right" vertical="center"/>
      <protection locked="0"/>
    </xf>
    <xf numFmtId="4" fontId="53" fillId="20" borderId="0" xfId="0" applyNumberFormat="1" applyFont="1" applyFill="1" applyBorder="1" applyAlignment="1" applyProtection="1">
      <alignment horizontal="right" vertical="center"/>
      <protection locked="0"/>
    </xf>
    <xf numFmtId="171" fontId="21" fillId="20" borderId="27" xfId="0" applyNumberFormat="1" applyFont="1" applyFill="1" applyBorder="1" applyAlignment="1" applyProtection="1">
      <protection locked="0"/>
    </xf>
    <xf numFmtId="4" fontId="52" fillId="20" borderId="60" xfId="0" applyNumberFormat="1" applyFont="1" applyFill="1" applyBorder="1" applyAlignment="1" applyProtection="1">
      <protection locked="0"/>
    </xf>
    <xf numFmtId="4" fontId="21" fillId="20" borderId="0" xfId="0" applyNumberFormat="1" applyFont="1" applyFill="1" applyBorder="1" applyAlignment="1" applyProtection="1">
      <alignment horizontal="right" vertical="center"/>
      <protection locked="0"/>
    </xf>
    <xf numFmtId="4" fontId="21" fillId="20" borderId="53" xfId="0" applyNumberFormat="1" applyFont="1" applyFill="1" applyBorder="1" applyAlignment="1" applyProtection="1">
      <protection locked="0"/>
    </xf>
    <xf numFmtId="4" fontId="21" fillId="20" borderId="22" xfId="0" applyNumberFormat="1" applyFont="1" applyFill="1" applyBorder="1" applyAlignment="1" applyProtection="1">
      <protection locked="0"/>
    </xf>
    <xf numFmtId="4" fontId="21" fillId="20" borderId="52" xfId="0" applyNumberFormat="1" applyFont="1" applyFill="1" applyBorder="1" applyAlignment="1" applyProtection="1">
      <protection locked="0"/>
    </xf>
    <xf numFmtId="4" fontId="49" fillId="20" borderId="30" xfId="0" applyNumberFormat="1" applyFont="1" applyFill="1" applyBorder="1" applyAlignment="1" applyProtection="1">
      <protection locked="0"/>
    </xf>
    <xf numFmtId="4" fontId="49" fillId="20" borderId="25" xfId="0" applyNumberFormat="1" applyFont="1" applyFill="1" applyBorder="1" applyAlignment="1" applyProtection="1">
      <protection locked="0"/>
    </xf>
    <xf numFmtId="0" fontId="21" fillId="0" borderId="0" xfId="0" applyFont="1" applyAlignment="1" applyProtection="1">
      <alignment vertical="top" wrapText="1"/>
    </xf>
    <xf numFmtId="3" fontId="21" fillId="0" borderId="0" xfId="0" applyNumberFormat="1" applyFont="1" applyAlignment="1" applyProtection="1">
      <alignment vertical="top" wrapText="1"/>
    </xf>
    <xf numFmtId="0" fontId="21" fillId="0" borderId="0" xfId="0" applyFont="1" applyFill="1" applyAlignment="1" applyProtection="1">
      <alignment vertical="top" wrapText="1"/>
    </xf>
    <xf numFmtId="0" fontId="22" fillId="0" borderId="0" xfId="0" applyFont="1" applyAlignment="1" applyProtection="1">
      <alignment vertical="top" wrapText="1"/>
    </xf>
    <xf numFmtId="0" fontId="21" fillId="10" borderId="10" xfId="19" applyNumberFormat="1" applyFont="1" applyFill="1" applyBorder="1" applyAlignment="1" applyProtection="1">
      <alignment horizontal="center"/>
    </xf>
    <xf numFmtId="0" fontId="21" fillId="0" borderId="0" xfId="0" applyFont="1" applyAlignment="1" applyProtection="1">
      <alignment vertical="top"/>
    </xf>
    <xf numFmtId="0" fontId="21" fillId="3" borderId="10" xfId="19" applyNumberFormat="1" applyFont="1" applyFill="1" applyBorder="1" applyAlignment="1" applyProtection="1">
      <alignment horizontal="center"/>
    </xf>
    <xf numFmtId="0" fontId="62" fillId="0" borderId="0" xfId="19" applyFont="1" applyAlignment="1" applyProtection="1">
      <alignment vertical="top" wrapText="1"/>
    </xf>
    <xf numFmtId="0" fontId="21" fillId="17" borderId="0" xfId="0" applyFont="1" applyFill="1" applyBorder="1" applyAlignment="1" applyProtection="1">
      <alignment vertical="top" wrapText="1"/>
    </xf>
    <xf numFmtId="0" fontId="21" fillId="0" borderId="27" xfId="0" applyFont="1" applyFill="1" applyBorder="1" applyAlignment="1" applyProtection="1">
      <alignment vertical="top" wrapText="1"/>
    </xf>
    <xf numFmtId="0" fontId="21" fillId="0" borderId="0" xfId="0" applyFont="1" applyFill="1" applyBorder="1" applyAlignment="1" applyProtection="1">
      <alignment vertical="top" wrapText="1"/>
    </xf>
    <xf numFmtId="0" fontId="21" fillId="0" borderId="0" xfId="0" applyFont="1" applyBorder="1" applyAlignment="1" applyProtection="1">
      <alignment vertical="top" wrapText="1"/>
    </xf>
    <xf numFmtId="0" fontId="21" fillId="0" borderId="10" xfId="0" applyFont="1" applyFill="1" applyBorder="1" applyAlignment="1" applyProtection="1">
      <alignment vertical="top" wrapText="1"/>
    </xf>
    <xf numFmtId="0" fontId="21" fillId="19" borderId="0" xfId="0" applyFont="1" applyFill="1" applyBorder="1" applyAlignment="1" applyProtection="1">
      <alignment vertical="top" wrapText="1"/>
    </xf>
    <xf numFmtId="0" fontId="63" fillId="0" borderId="0" xfId="0" applyFont="1" applyAlignment="1" applyProtection="1">
      <alignment vertical="top" wrapText="1"/>
    </xf>
    <xf numFmtId="0" fontId="21" fillId="0" borderId="0" xfId="0" applyFont="1" applyAlignment="1" applyProtection="1">
      <alignment horizontal="left" vertical="top" wrapText="1"/>
    </xf>
    <xf numFmtId="0" fontId="21" fillId="0" borderId="0" xfId="0" applyFont="1" applyBorder="1" applyAlignment="1" applyProtection="1">
      <alignment horizontal="left" vertical="top" wrapText="1"/>
    </xf>
    <xf numFmtId="0" fontId="21" fillId="0" borderId="12" xfId="0" applyFont="1" applyBorder="1" applyAlignment="1" applyProtection="1">
      <alignment vertical="top" wrapText="1"/>
    </xf>
    <xf numFmtId="0" fontId="48" fillId="0" borderId="16" xfId="0" applyFont="1" applyBorder="1" applyAlignment="1" applyProtection="1">
      <alignment wrapText="1"/>
    </xf>
    <xf numFmtId="0" fontId="22" fillId="0" borderId="16" xfId="0" applyFont="1" applyFill="1" applyBorder="1" applyAlignment="1" applyProtection="1">
      <alignment horizontal="center" wrapText="1"/>
    </xf>
    <xf numFmtId="0" fontId="21" fillId="0" borderId="15" xfId="0" applyFont="1" applyBorder="1" applyAlignment="1" applyProtection="1">
      <alignment vertical="top" wrapText="1"/>
    </xf>
    <xf numFmtId="0" fontId="21" fillId="0" borderId="9" xfId="0" applyFont="1" applyBorder="1" applyAlignment="1" applyProtection="1">
      <alignment vertical="top" wrapText="1"/>
    </xf>
    <xf numFmtId="0" fontId="22" fillId="0" borderId="16" xfId="0" applyFont="1" applyBorder="1" applyAlignment="1" applyProtection="1">
      <alignment wrapText="1"/>
    </xf>
    <xf numFmtId="0" fontId="64" fillId="0" borderId="0" xfId="0" applyFont="1" applyAlignment="1" applyProtection="1">
      <alignment vertical="top" wrapText="1"/>
    </xf>
    <xf numFmtId="0" fontId="21" fillId="17" borderId="10" xfId="0" applyFont="1" applyFill="1" applyBorder="1" applyAlignment="1" applyProtection="1">
      <alignment vertical="top" wrapText="1"/>
    </xf>
    <xf numFmtId="3" fontId="64" fillId="0" borderId="0" xfId="0" applyNumberFormat="1" applyFont="1" applyAlignment="1" applyProtection="1">
      <alignment vertical="top" wrapText="1"/>
    </xf>
    <xf numFmtId="165" fontId="64" fillId="0" borderId="0" xfId="21" applyNumberFormat="1" applyFont="1" applyAlignment="1" applyProtection="1">
      <alignment vertical="top" wrapText="1"/>
    </xf>
    <xf numFmtId="165" fontId="64" fillId="0" borderId="0" xfId="0" applyNumberFormat="1" applyFont="1" applyAlignment="1" applyProtection="1">
      <alignment vertical="top" wrapText="1"/>
    </xf>
    <xf numFmtId="10" fontId="64" fillId="0" borderId="0" xfId="0" applyNumberFormat="1" applyFont="1" applyAlignment="1" applyProtection="1">
      <alignment vertical="top" wrapText="1"/>
    </xf>
    <xf numFmtId="0" fontId="22" fillId="17" borderId="10" xfId="0" applyFont="1" applyFill="1" applyBorder="1" applyAlignment="1" applyProtection="1">
      <alignment vertical="top" wrapText="1"/>
    </xf>
    <xf numFmtId="0" fontId="22" fillId="0" borderId="0" xfId="0" applyFont="1" applyFill="1" applyBorder="1" applyAlignment="1" applyProtection="1">
      <alignment horizontal="center" vertical="top" wrapText="1"/>
    </xf>
    <xf numFmtId="0" fontId="21" fillId="0" borderId="18" xfId="0" applyFont="1" applyFill="1" applyBorder="1" applyAlignment="1" applyProtection="1">
      <alignment vertical="top" wrapText="1"/>
    </xf>
    <xf numFmtId="165" fontId="49" fillId="22" borderId="10" xfId="21" applyNumberFormat="1" applyFont="1" applyFill="1" applyBorder="1" applyAlignment="1" applyProtection="1">
      <alignment horizontal="center" vertical="top" wrapText="1"/>
    </xf>
    <xf numFmtId="170" fontId="49" fillId="22" borderId="10" xfId="4" applyNumberFormat="1" applyFont="1" applyFill="1" applyBorder="1" applyAlignment="1" applyProtection="1">
      <alignment horizontal="center" vertical="top" wrapText="1"/>
    </xf>
    <xf numFmtId="0" fontId="48" fillId="0" borderId="10" xfId="0" applyFont="1" applyFill="1" applyBorder="1" applyAlignment="1" applyProtection="1">
      <alignment vertical="top" wrapText="1"/>
    </xf>
    <xf numFmtId="0" fontId="60" fillId="0" borderId="0" xfId="0" applyFont="1" applyFill="1" applyBorder="1" applyAlignment="1" applyProtection="1">
      <alignment vertical="top" wrapText="1"/>
    </xf>
    <xf numFmtId="0" fontId="65" fillId="0" borderId="0" xfId="0" applyFont="1" applyAlignment="1" applyProtection="1">
      <alignment vertical="top" wrapText="1"/>
    </xf>
    <xf numFmtId="0" fontId="21" fillId="0" borderId="0" xfId="0" applyFont="1" applyFill="1" applyAlignment="1" applyProtection="1">
      <alignment horizontal="left" vertical="top" wrapText="1"/>
    </xf>
    <xf numFmtId="0" fontId="67" fillId="0" borderId="0" xfId="19" applyFont="1" applyProtection="1">
      <alignment vertical="top"/>
    </xf>
    <xf numFmtId="0" fontId="68" fillId="0" borderId="0" xfId="19" applyFont="1" applyProtection="1">
      <alignment vertical="top"/>
    </xf>
    <xf numFmtId="10" fontId="65" fillId="22" borderId="10" xfId="21" applyNumberFormat="1" applyFont="1" applyFill="1" applyBorder="1" applyAlignment="1" applyProtection="1"/>
    <xf numFmtId="3" fontId="21" fillId="0" borderId="0" xfId="2" applyNumberFormat="1" applyFont="1" applyFill="1" applyBorder="1" applyAlignment="1" applyProtection="1">
      <alignment horizontal="center"/>
    </xf>
    <xf numFmtId="0" fontId="70" fillId="3" borderId="0" xfId="0" applyFont="1" applyFill="1" applyAlignment="1" applyProtection="1">
      <alignment horizontal="center" vertical="top" wrapText="1"/>
    </xf>
    <xf numFmtId="0" fontId="71" fillId="0" borderId="0" xfId="0" applyFont="1" applyAlignment="1" applyProtection="1">
      <alignment horizontal="left" vertical="top" wrapText="1" indent="1"/>
    </xf>
    <xf numFmtId="0" fontId="21" fillId="0" borderId="0" xfId="0" applyFont="1" applyFill="1" applyBorder="1" applyAlignment="1" applyProtection="1">
      <alignment horizontal="center" vertical="top" wrapText="1"/>
    </xf>
    <xf numFmtId="165" fontId="21" fillId="22" borderId="10" xfId="21" applyNumberFormat="1" applyFont="1" applyFill="1" applyBorder="1" applyAlignment="1" applyProtection="1">
      <alignment horizontal="right"/>
    </xf>
    <xf numFmtId="0" fontId="63" fillId="0" borderId="74" xfId="0" applyFont="1" applyBorder="1" applyAlignment="1" applyProtection="1">
      <alignment vertical="top" wrapText="1"/>
    </xf>
    <xf numFmtId="0" fontId="21" fillId="0" borderId="0" xfId="0" applyFont="1" applyFill="1" applyBorder="1" applyAlignment="1" applyProtection="1">
      <alignment horizontal="left" vertical="top" wrapText="1"/>
    </xf>
    <xf numFmtId="0" fontId="21" fillId="17" borderId="0" xfId="0" applyFont="1" applyFill="1" applyAlignment="1" applyProtection="1">
      <alignment vertical="top" wrapText="1"/>
    </xf>
    <xf numFmtId="9" fontId="69" fillId="13" borderId="1" xfId="21" applyFont="1" applyFill="1" applyBorder="1" applyAlignment="1" applyProtection="1">
      <alignment horizontal="right"/>
      <protection locked="0"/>
    </xf>
    <xf numFmtId="0" fontId="21" fillId="20" borderId="10" xfId="0" applyFont="1" applyFill="1" applyBorder="1" applyAlignment="1" applyProtection="1">
      <alignment horizontal="left" vertical="top" wrapText="1" indent="1"/>
      <protection locked="0"/>
    </xf>
    <xf numFmtId="0" fontId="22" fillId="21" borderId="23" xfId="0" applyFont="1" applyFill="1" applyBorder="1" applyAlignment="1" applyProtection="1">
      <alignment horizontal="center" vertical="center"/>
    </xf>
    <xf numFmtId="0" fontId="22" fillId="21" borderId="8" xfId="0" applyFont="1" applyFill="1" applyBorder="1" applyAlignment="1" applyProtection="1">
      <alignment horizontal="center" vertical="center"/>
    </xf>
    <xf numFmtId="0" fontId="44" fillId="8" borderId="0" xfId="0" applyFont="1" applyFill="1" applyAlignment="1" applyProtection="1"/>
    <xf numFmtId="9" fontId="47" fillId="8" borderId="0" xfId="0" applyNumberFormat="1" applyFont="1" applyFill="1" applyAlignment="1" applyProtection="1"/>
    <xf numFmtId="0" fontId="47" fillId="8" borderId="0" xfId="0" applyFont="1" applyFill="1" applyAlignment="1" applyProtection="1"/>
    <xf numFmtId="0" fontId="44" fillId="8" borderId="0" xfId="0" applyFont="1" applyFill="1" applyBorder="1" applyAlignment="1" applyProtection="1"/>
    <xf numFmtId="3" fontId="44" fillId="8" borderId="0" xfId="0" applyNumberFormat="1" applyFont="1" applyFill="1" applyBorder="1" applyAlignment="1" applyProtection="1"/>
    <xf numFmtId="4" fontId="21" fillId="0" borderId="51" xfId="0" applyNumberFormat="1" applyFont="1" applyFill="1" applyBorder="1" applyAlignment="1" applyProtection="1"/>
    <xf numFmtId="0" fontId="22" fillId="8" borderId="0" xfId="0" applyFont="1" applyFill="1" applyBorder="1" applyAlignment="1" applyProtection="1"/>
    <xf numFmtId="0" fontId="21" fillId="8" borderId="0" xfId="0" applyFont="1" applyFill="1" applyBorder="1" applyAlignment="1" applyProtection="1"/>
    <xf numFmtId="3" fontId="21" fillId="8" borderId="0" xfId="0" applyNumberFormat="1" applyFont="1" applyFill="1" applyBorder="1" applyAlignment="1" applyProtection="1"/>
    <xf numFmtId="0" fontId="21" fillId="8" borderId="25" xfId="0" applyFont="1" applyFill="1" applyBorder="1" applyAlignment="1" applyProtection="1"/>
    <xf numFmtId="3" fontId="21" fillId="8" borderId="25" xfId="0" applyNumberFormat="1" applyFont="1" applyFill="1" applyBorder="1" applyAlignment="1" applyProtection="1"/>
    <xf numFmtId="0" fontId="21" fillId="8" borderId="0" xfId="0" applyFont="1" applyFill="1" applyAlignment="1" applyProtection="1"/>
    <xf numFmtId="177" fontId="21" fillId="8" borderId="43" xfId="0" applyNumberFormat="1" applyFont="1" applyFill="1" applyBorder="1" applyAlignment="1" applyProtection="1">
      <alignment horizontal="center" vertical="center"/>
    </xf>
    <xf numFmtId="177" fontId="21" fillId="8" borderId="72" xfId="0" applyNumberFormat="1" applyFont="1" applyFill="1" applyBorder="1" applyAlignment="1" applyProtection="1">
      <alignment horizontal="center" vertical="center"/>
    </xf>
    <xf numFmtId="3" fontId="21" fillId="8" borderId="72" xfId="0" applyNumberFormat="1" applyFont="1" applyFill="1" applyBorder="1" applyAlignment="1" applyProtection="1">
      <alignment horizontal="center" vertical="center"/>
    </xf>
    <xf numFmtId="177" fontId="21" fillId="8" borderId="71" xfId="0" applyNumberFormat="1" applyFont="1" applyFill="1" applyBorder="1" applyAlignment="1" applyProtection="1">
      <alignment horizontal="center" vertical="center"/>
    </xf>
    <xf numFmtId="177" fontId="21" fillId="8" borderId="73" xfId="0" applyNumberFormat="1" applyFont="1" applyFill="1" applyBorder="1" applyAlignment="1" applyProtection="1">
      <alignment horizontal="center" vertical="center"/>
    </xf>
    <xf numFmtId="0" fontId="21" fillId="8" borderId="0" xfId="0" applyFont="1" applyFill="1" applyAlignment="1" applyProtection="1">
      <alignment vertical="center"/>
    </xf>
    <xf numFmtId="0" fontId="21" fillId="8" borderId="10" xfId="0" applyFont="1" applyFill="1" applyBorder="1" applyAlignment="1" applyProtection="1"/>
    <xf numFmtId="0" fontId="21" fillId="8" borderId="59" xfId="0" applyFont="1" applyFill="1" applyBorder="1" applyAlignment="1" applyProtection="1"/>
    <xf numFmtId="0" fontId="21" fillId="8" borderId="28" xfId="0" applyFont="1" applyFill="1" applyBorder="1" applyAlignment="1" applyProtection="1"/>
    <xf numFmtId="0" fontId="21" fillId="8" borderId="58" xfId="0" applyFont="1" applyFill="1" applyBorder="1" applyAlignment="1" applyProtection="1"/>
    <xf numFmtId="0" fontId="21" fillId="8" borderId="51" xfId="0" applyFont="1" applyFill="1" applyBorder="1" applyAlignment="1" applyProtection="1"/>
    <xf numFmtId="0" fontId="21" fillId="0" borderId="51" xfId="0" applyFont="1" applyFill="1" applyBorder="1" applyAlignment="1" applyProtection="1"/>
    <xf numFmtId="0" fontId="22" fillId="8" borderId="28" xfId="0" applyFont="1" applyFill="1" applyBorder="1" applyAlignment="1" applyProtection="1"/>
    <xf numFmtId="0" fontId="22" fillId="8" borderId="58" xfId="0" applyFont="1" applyFill="1" applyBorder="1" applyAlignment="1" applyProtection="1"/>
    <xf numFmtId="3" fontId="21" fillId="8" borderId="10" xfId="0" applyNumberFormat="1" applyFont="1" applyFill="1" applyBorder="1" applyAlignment="1" applyProtection="1"/>
    <xf numFmtId="0" fontId="21" fillId="8" borderId="70" xfId="0" applyFont="1" applyFill="1" applyBorder="1" applyAlignment="1" applyProtection="1"/>
    <xf numFmtId="3" fontId="21" fillId="8" borderId="65" xfId="0" applyNumberFormat="1" applyFont="1" applyFill="1" applyBorder="1" applyAlignment="1" applyProtection="1"/>
    <xf numFmtId="0" fontId="21" fillId="8" borderId="64" xfId="0" applyFont="1" applyFill="1" applyBorder="1" applyAlignment="1" applyProtection="1"/>
    <xf numFmtId="3" fontId="21" fillId="8" borderId="68" xfId="0" applyNumberFormat="1" applyFont="1" applyFill="1" applyBorder="1" applyAlignment="1" applyProtection="1">
      <alignment horizontal="center"/>
    </xf>
    <xf numFmtId="3" fontId="21" fillId="8" borderId="67" xfId="0" applyNumberFormat="1" applyFont="1" applyFill="1" applyBorder="1" applyAlignment="1" applyProtection="1">
      <alignment horizontal="center"/>
    </xf>
    <xf numFmtId="3" fontId="49" fillId="8" borderId="66" xfId="0" applyNumberFormat="1" applyFont="1" applyFill="1" applyBorder="1" applyAlignment="1" applyProtection="1">
      <alignment horizontal="center"/>
    </xf>
    <xf numFmtId="3" fontId="21" fillId="8" borderId="69" xfId="0" applyNumberFormat="1" applyFont="1" applyFill="1" applyBorder="1" applyAlignment="1" applyProtection="1">
      <alignment horizontal="center"/>
    </xf>
    <xf numFmtId="3" fontId="49" fillId="0" borderId="66" xfId="0" applyNumberFormat="1" applyFont="1" applyFill="1" applyBorder="1" applyAlignment="1" applyProtection="1">
      <alignment horizontal="center"/>
    </xf>
    <xf numFmtId="3" fontId="48" fillId="8" borderId="65" xfId="0" applyNumberFormat="1" applyFont="1" applyFill="1" applyBorder="1" applyAlignment="1" applyProtection="1">
      <alignment horizontal="center"/>
    </xf>
    <xf numFmtId="3" fontId="48" fillId="8" borderId="64" xfId="0" applyNumberFormat="1" applyFont="1" applyFill="1" applyBorder="1" applyAlignment="1" applyProtection="1">
      <alignment horizontal="center"/>
    </xf>
    <xf numFmtId="0" fontId="22" fillId="8" borderId="10" xfId="0" applyFont="1" applyFill="1" applyBorder="1" applyAlignment="1" applyProtection="1"/>
    <xf numFmtId="0" fontId="21" fillId="8" borderId="33" xfId="0" applyFont="1" applyFill="1" applyBorder="1" applyAlignment="1" applyProtection="1"/>
    <xf numFmtId="3" fontId="21" fillId="8" borderId="45" xfId="0" applyNumberFormat="1" applyFont="1" applyFill="1" applyBorder="1" applyAlignment="1" applyProtection="1"/>
    <xf numFmtId="0" fontId="21" fillId="8" borderId="32" xfId="0" applyFont="1" applyFill="1" applyBorder="1" applyAlignment="1" applyProtection="1"/>
    <xf numFmtId="171" fontId="21" fillId="8" borderId="27" xfId="0" applyNumberFormat="1" applyFont="1" applyFill="1" applyBorder="1" applyAlignment="1" applyProtection="1"/>
    <xf numFmtId="171" fontId="21" fillId="8" borderId="31" xfId="0" applyNumberFormat="1" applyFont="1" applyFill="1" applyBorder="1" applyAlignment="1" applyProtection="1"/>
    <xf numFmtId="171" fontId="21" fillId="8" borderId="42" xfId="0" applyNumberFormat="1" applyFont="1" applyFill="1" applyBorder="1" applyAlignment="1" applyProtection="1"/>
    <xf numFmtId="171" fontId="21" fillId="8" borderId="30" xfId="0" applyNumberFormat="1" applyFont="1" applyFill="1" applyBorder="1" applyAlignment="1" applyProtection="1"/>
    <xf numFmtId="3" fontId="21" fillId="8" borderId="27" xfId="0" applyNumberFormat="1" applyFont="1" applyFill="1" applyBorder="1" applyAlignment="1" applyProtection="1"/>
    <xf numFmtId="171" fontId="21" fillId="0" borderId="42" xfId="0" applyNumberFormat="1" applyFont="1" applyFill="1" applyBorder="1" applyAlignment="1" applyProtection="1"/>
    <xf numFmtId="3" fontId="22" fillId="8" borderId="45" xfId="0" applyNumberFormat="1" applyFont="1" applyFill="1" applyBorder="1" applyAlignment="1" applyProtection="1"/>
    <xf numFmtId="176" fontId="22" fillId="8" borderId="32" xfId="21" applyNumberFormat="1" applyFont="1" applyFill="1" applyBorder="1" applyAlignment="1" applyProtection="1"/>
    <xf numFmtId="0" fontId="21" fillId="8" borderId="10" xfId="0" applyFont="1" applyFill="1" applyBorder="1" applyAlignment="1" applyProtection="1">
      <alignment horizontal="left" vertical="center"/>
    </xf>
    <xf numFmtId="10" fontId="21" fillId="8" borderId="59" xfId="21" applyNumberFormat="1" applyFont="1" applyFill="1" applyBorder="1" applyAlignment="1" applyProtection="1">
      <alignment horizontal="right" vertical="center"/>
    </xf>
    <xf numFmtId="4" fontId="21" fillId="0" borderId="28" xfId="0" applyNumberFormat="1" applyFont="1" applyBorder="1" applyAlignment="1" applyProtection="1"/>
    <xf numFmtId="4" fontId="21" fillId="8" borderId="58" xfId="21" applyNumberFormat="1" applyFont="1" applyFill="1" applyBorder="1" applyAlignment="1" applyProtection="1">
      <alignment horizontal="right" vertical="center"/>
    </xf>
    <xf numFmtId="4" fontId="21" fillId="8" borderId="51" xfId="0" applyNumberFormat="1" applyFont="1" applyFill="1" applyBorder="1" applyAlignment="1" applyProtection="1">
      <alignment horizontal="right" vertical="center"/>
    </xf>
    <xf numFmtId="4" fontId="21" fillId="0" borderId="51" xfId="0" applyNumberFormat="1" applyFont="1" applyFill="1" applyBorder="1" applyAlignment="1" applyProtection="1">
      <alignment horizontal="right" vertical="center"/>
    </xf>
    <xf numFmtId="4" fontId="21" fillId="8" borderId="0" xfId="0" applyNumberFormat="1" applyFont="1" applyFill="1" applyBorder="1" applyAlignment="1" applyProtection="1">
      <alignment horizontal="right" vertical="center"/>
    </xf>
    <xf numFmtId="4" fontId="21" fillId="8" borderId="28" xfId="0" applyNumberFormat="1" applyFont="1" applyFill="1" applyBorder="1" applyAlignment="1" applyProtection="1">
      <alignment horizontal="right" vertical="center"/>
    </xf>
    <xf numFmtId="168" fontId="21" fillId="8" borderId="58" xfId="21" applyNumberFormat="1" applyFont="1" applyFill="1" applyBorder="1" applyAlignment="1" applyProtection="1">
      <alignment horizontal="right" vertical="center"/>
    </xf>
    <xf numFmtId="174" fontId="21" fillId="8" borderId="0" xfId="0" applyNumberFormat="1" applyFont="1" applyFill="1" applyBorder="1" applyAlignment="1" applyProtection="1">
      <alignment horizontal="right" vertical="center"/>
    </xf>
    <xf numFmtId="0" fontId="53" fillId="8" borderId="0" xfId="0" applyFont="1" applyFill="1" applyBorder="1" applyAlignment="1" applyProtection="1">
      <alignment horizontal="right" vertical="center"/>
    </xf>
    <xf numFmtId="0" fontId="21" fillId="8" borderId="0" xfId="0" applyFont="1" applyFill="1" applyBorder="1" applyAlignment="1" applyProtection="1">
      <alignment horizontal="right" vertical="center"/>
    </xf>
    <xf numFmtId="1" fontId="21" fillId="8" borderId="0" xfId="0" applyNumberFormat="1" applyFont="1" applyFill="1" applyBorder="1" applyAlignment="1" applyProtection="1">
      <alignment horizontal="right" vertical="center"/>
    </xf>
    <xf numFmtId="4" fontId="47" fillId="0" borderId="63" xfId="0" applyNumberFormat="1" applyFont="1" applyBorder="1" applyAlignment="1" applyProtection="1"/>
    <xf numFmtId="0" fontId="22" fillId="29" borderId="10" xfId="0" applyFont="1" applyFill="1" applyBorder="1" applyAlignment="1" applyProtection="1">
      <alignment wrapText="1"/>
    </xf>
    <xf numFmtId="10" fontId="22" fillId="29" borderId="40" xfId="21" applyNumberFormat="1" applyFont="1" applyFill="1" applyBorder="1" applyProtection="1"/>
    <xf numFmtId="4" fontId="22" fillId="29" borderId="62" xfId="0" applyNumberFormat="1" applyFont="1" applyFill="1" applyBorder="1" applyAlignment="1" applyProtection="1"/>
    <xf numFmtId="4" fontId="21" fillId="29" borderId="61" xfId="21" applyNumberFormat="1" applyFont="1" applyFill="1" applyBorder="1" applyProtection="1"/>
    <xf numFmtId="4" fontId="22" fillId="29" borderId="47" xfId="0" applyNumberFormat="1" applyFont="1" applyFill="1" applyBorder="1" applyAlignment="1" applyProtection="1"/>
    <xf numFmtId="4" fontId="22" fillId="29" borderId="46" xfId="0" applyNumberFormat="1" applyFont="1" applyFill="1" applyBorder="1" applyAlignment="1" applyProtection="1"/>
    <xf numFmtId="4" fontId="22" fillId="29" borderId="24" xfId="0" applyNumberFormat="1" applyFont="1" applyFill="1" applyBorder="1" applyAlignment="1" applyProtection="1"/>
    <xf numFmtId="4" fontId="22" fillId="29" borderId="48" xfId="0" applyNumberFormat="1" applyFont="1" applyFill="1" applyBorder="1" applyAlignment="1" applyProtection="1"/>
    <xf numFmtId="4" fontId="22" fillId="8" borderId="0" xfId="0" applyNumberFormat="1" applyFont="1" applyFill="1" applyBorder="1" applyAlignment="1" applyProtection="1"/>
    <xf numFmtId="168" fontId="22" fillId="29" borderId="61" xfId="21" applyNumberFormat="1" applyFont="1" applyFill="1" applyBorder="1" applyProtection="1"/>
    <xf numFmtId="0" fontId="22" fillId="17" borderId="10" xfId="0" applyFont="1" applyFill="1" applyBorder="1" applyAlignment="1" applyProtection="1"/>
    <xf numFmtId="4" fontId="21" fillId="8" borderId="10" xfId="0" applyNumberFormat="1" applyFont="1" applyFill="1" applyBorder="1" applyAlignment="1" applyProtection="1"/>
    <xf numFmtId="10" fontId="21" fillId="8" borderId="59" xfId="21" applyNumberFormat="1" applyFont="1" applyFill="1" applyBorder="1" applyAlignment="1" applyProtection="1"/>
    <xf numFmtId="4" fontId="21" fillId="8" borderId="45" xfId="0" applyNumberFormat="1" applyFont="1" applyFill="1" applyBorder="1" applyAlignment="1" applyProtection="1"/>
    <xf numFmtId="4" fontId="21" fillId="8" borderId="58" xfId="0" applyNumberFormat="1" applyFont="1" applyFill="1" applyBorder="1" applyAlignment="1" applyProtection="1"/>
    <xf numFmtId="4" fontId="21" fillId="8" borderId="19" xfId="0" applyNumberFormat="1" applyFont="1" applyFill="1" applyBorder="1" applyAlignment="1" applyProtection="1"/>
    <xf numFmtId="4" fontId="21" fillId="8" borderId="18" xfId="0" applyNumberFormat="1" applyFont="1" applyFill="1" applyBorder="1" applyAlignment="1" applyProtection="1"/>
    <xf numFmtId="4" fontId="21" fillId="8" borderId="34" xfId="0" applyNumberFormat="1" applyFont="1" applyFill="1" applyBorder="1" applyAlignment="1" applyProtection="1"/>
    <xf numFmtId="4" fontId="21" fillId="0" borderId="34" xfId="0" applyNumberFormat="1" applyFont="1" applyFill="1" applyBorder="1" applyAlignment="1" applyProtection="1"/>
    <xf numFmtId="4" fontId="21" fillId="8" borderId="0" xfId="0" applyNumberFormat="1" applyFont="1" applyFill="1" applyBorder="1" applyAlignment="1" applyProtection="1"/>
    <xf numFmtId="4" fontId="22" fillId="8" borderId="28" xfId="0" applyNumberFormat="1" applyFont="1" applyFill="1" applyBorder="1" applyAlignment="1" applyProtection="1"/>
    <xf numFmtId="168" fontId="22" fillId="8" borderId="58" xfId="21" applyNumberFormat="1" applyFont="1" applyFill="1" applyBorder="1" applyAlignment="1" applyProtection="1"/>
    <xf numFmtId="175" fontId="21" fillId="17" borderId="10" xfId="0" applyNumberFormat="1" applyFont="1" applyFill="1" applyBorder="1" applyAlignment="1" applyProtection="1">
      <alignment vertical="center" wrapText="1"/>
    </xf>
    <xf numFmtId="4" fontId="21" fillId="8" borderId="28" xfId="0" applyNumberFormat="1" applyFont="1" applyFill="1" applyBorder="1" applyAlignment="1" applyProtection="1"/>
    <xf numFmtId="4" fontId="52" fillId="8" borderId="51" xfId="0" applyNumberFormat="1" applyFont="1" applyFill="1" applyBorder="1" applyAlignment="1" applyProtection="1"/>
    <xf numFmtId="4" fontId="22" fillId="29" borderId="39" xfId="0" applyNumberFormat="1" applyFont="1" applyFill="1" applyBorder="1" applyAlignment="1" applyProtection="1"/>
    <xf numFmtId="4" fontId="22" fillId="29" borderId="38" xfId="21" applyNumberFormat="1" applyFont="1" applyFill="1" applyBorder="1" applyProtection="1"/>
    <xf numFmtId="168" fontId="22" fillId="29" borderId="38" xfId="21" applyNumberFormat="1" applyFont="1" applyFill="1" applyBorder="1" applyAlignment="1" applyProtection="1"/>
    <xf numFmtId="0" fontId="22" fillId="12" borderId="10" xfId="0" applyFont="1" applyFill="1" applyBorder="1" applyAlignment="1" applyProtection="1">
      <alignment vertical="center" wrapText="1"/>
    </xf>
    <xf numFmtId="10" fontId="49" fillId="12" borderId="40" xfId="0" applyNumberFormat="1" applyFont="1" applyFill="1" applyBorder="1" applyAlignment="1" applyProtection="1"/>
    <xf numFmtId="4" fontId="48" fillId="12" borderId="39" xfId="0" applyNumberFormat="1" applyFont="1" applyFill="1" applyBorder="1" applyAlignment="1" applyProtection="1"/>
    <xf numFmtId="4" fontId="49" fillId="12" borderId="38" xfId="0" applyNumberFormat="1" applyFont="1" applyFill="1" applyBorder="1" applyAlignment="1" applyProtection="1"/>
    <xf numFmtId="4" fontId="49" fillId="12" borderId="47" xfId="0" applyNumberFormat="1" applyFont="1" applyFill="1" applyBorder="1" applyAlignment="1" applyProtection="1"/>
    <xf numFmtId="4" fontId="49" fillId="12" borderId="46" xfId="0" applyNumberFormat="1" applyFont="1" applyFill="1" applyBorder="1" applyAlignment="1" applyProtection="1"/>
    <xf numFmtId="4" fontId="49" fillId="12" borderId="24" xfId="0" applyNumberFormat="1" applyFont="1" applyFill="1" applyBorder="1" applyAlignment="1" applyProtection="1"/>
    <xf numFmtId="4" fontId="49" fillId="12" borderId="48" xfId="0" applyNumberFormat="1" applyFont="1" applyFill="1" applyBorder="1" applyAlignment="1" applyProtection="1"/>
    <xf numFmtId="4" fontId="49" fillId="8" borderId="0" xfId="0" applyNumberFormat="1" applyFont="1" applyFill="1" applyBorder="1" applyAlignment="1" applyProtection="1"/>
    <xf numFmtId="4" fontId="48" fillId="12" borderId="38" xfId="0" applyNumberFormat="1" applyFont="1" applyFill="1" applyBorder="1" applyAlignment="1" applyProtection="1"/>
    <xf numFmtId="0" fontId="49" fillId="8" borderId="0" xfId="0" applyFont="1" applyFill="1" applyBorder="1" applyAlignment="1" applyProtection="1"/>
    <xf numFmtId="0" fontId="15" fillId="0" borderId="10" xfId="0" applyFont="1" applyBorder="1" applyAlignment="1" applyProtection="1">
      <alignment vertical="center" wrapText="1"/>
    </xf>
    <xf numFmtId="10" fontId="21" fillId="8" borderId="59" xfId="0" applyNumberFormat="1" applyFont="1" applyFill="1" applyBorder="1" applyAlignment="1" applyProtection="1"/>
    <xf numFmtId="4" fontId="21" fillId="8" borderId="51" xfId="0" applyNumberFormat="1" applyFont="1" applyFill="1" applyBorder="1" applyAlignment="1" applyProtection="1"/>
    <xf numFmtId="4" fontId="22" fillId="8" borderId="57" xfId="0" applyNumberFormat="1" applyFont="1" applyFill="1" applyBorder="1" applyAlignment="1" applyProtection="1"/>
    <xf numFmtId="0" fontId="21" fillId="0" borderId="10" xfId="0" applyFont="1" applyBorder="1" applyAlignment="1" applyProtection="1">
      <alignment vertical="center" wrapText="1"/>
    </xf>
    <xf numFmtId="10" fontId="21" fillId="8" borderId="56" xfId="0" applyNumberFormat="1" applyFont="1" applyFill="1" applyBorder="1" applyAlignment="1" applyProtection="1"/>
    <xf numFmtId="4" fontId="21" fillId="8" borderId="55" xfId="0" applyNumberFormat="1" applyFont="1" applyFill="1" applyBorder="1" applyAlignment="1" applyProtection="1"/>
    <xf numFmtId="4" fontId="21" fillId="8" borderId="54" xfId="0" applyNumberFormat="1" applyFont="1" applyFill="1" applyBorder="1" applyAlignment="1" applyProtection="1"/>
    <xf numFmtId="4" fontId="22" fillId="8" borderId="41" xfId="0" applyNumberFormat="1" applyFont="1" applyFill="1" applyBorder="1" applyAlignment="1" applyProtection="1"/>
    <xf numFmtId="0" fontId="22" fillId="12" borderId="10" xfId="0" applyFont="1" applyFill="1" applyBorder="1" applyAlignment="1" applyProtection="1">
      <alignment wrapText="1"/>
    </xf>
    <xf numFmtId="4" fontId="49" fillId="12" borderId="50" xfId="0" applyNumberFormat="1" applyFont="1" applyFill="1" applyBorder="1" applyAlignment="1" applyProtection="1"/>
    <xf numFmtId="4" fontId="49" fillId="12" borderId="49" xfId="0" applyNumberFormat="1" applyFont="1" applyFill="1" applyBorder="1" applyAlignment="1" applyProtection="1"/>
    <xf numFmtId="0" fontId="51" fillId="8" borderId="10" xfId="0" applyFont="1" applyFill="1" applyBorder="1" applyAlignment="1" applyProtection="1">
      <alignment wrapText="1"/>
    </xf>
    <xf numFmtId="10" fontId="50" fillId="8" borderId="25" xfId="0" applyNumberFormat="1" applyFont="1" applyFill="1" applyBorder="1" applyAlignment="1" applyProtection="1"/>
    <xf numFmtId="4" fontId="50" fillId="8" borderId="25" xfId="0" applyNumberFormat="1" applyFont="1" applyFill="1" applyBorder="1" applyAlignment="1" applyProtection="1"/>
    <xf numFmtId="4" fontId="50" fillId="8" borderId="42" xfId="0" applyNumberFormat="1" applyFont="1" applyFill="1" applyBorder="1" applyAlignment="1" applyProtection="1"/>
    <xf numFmtId="4" fontId="49" fillId="0" borderId="42" xfId="0" applyNumberFormat="1" applyFont="1" applyFill="1" applyBorder="1" applyAlignment="1" applyProtection="1"/>
    <xf numFmtId="4" fontId="50" fillId="8" borderId="0" xfId="0" applyNumberFormat="1" applyFont="1" applyFill="1" applyBorder="1" applyAlignment="1" applyProtection="1"/>
    <xf numFmtId="4" fontId="51" fillId="8" borderId="35" xfId="0" applyNumberFormat="1" applyFont="1" applyFill="1" applyBorder="1" applyAlignment="1" applyProtection="1"/>
    <xf numFmtId="0" fontId="50" fillId="8" borderId="0" xfId="0" applyFont="1" applyFill="1" applyBorder="1" applyAlignment="1" applyProtection="1"/>
    <xf numFmtId="0" fontId="21" fillId="8" borderId="10" xfId="0" applyFont="1" applyFill="1" applyBorder="1" applyAlignment="1" applyProtection="1">
      <alignment horizontal="left" wrapText="1"/>
    </xf>
    <xf numFmtId="10" fontId="49" fillId="8" borderId="33" xfId="0" applyNumberFormat="1" applyFont="1" applyFill="1" applyBorder="1" applyAlignment="1" applyProtection="1"/>
    <xf numFmtId="4" fontId="49" fillId="8" borderId="45" xfId="0" applyNumberFormat="1" applyFont="1" applyFill="1" applyBorder="1" applyAlignment="1" applyProtection="1"/>
    <xf numFmtId="4" fontId="49" fillId="8" borderId="32" xfId="0" applyNumberFormat="1" applyFont="1" applyFill="1" applyBorder="1" applyAlignment="1" applyProtection="1"/>
    <xf numFmtId="4" fontId="21" fillId="8" borderId="42" xfId="0" applyNumberFormat="1" applyFont="1" applyFill="1" applyBorder="1" applyAlignment="1" applyProtection="1"/>
    <xf numFmtId="4" fontId="21" fillId="0" borderId="42" xfId="0" applyNumberFormat="1" applyFont="1" applyFill="1" applyBorder="1" applyAlignment="1" applyProtection="1"/>
    <xf numFmtId="4" fontId="48" fillId="8" borderId="32" xfId="0" applyNumberFormat="1" applyFont="1" applyFill="1" applyBorder="1" applyAlignment="1" applyProtection="1"/>
    <xf numFmtId="10" fontId="21" fillId="8" borderId="44" xfId="0" applyNumberFormat="1" applyFont="1" applyFill="1" applyBorder="1" applyAlignment="1" applyProtection="1"/>
    <xf numFmtId="4" fontId="21" fillId="8" borderId="43" xfId="0" applyNumberFormat="1" applyFont="1" applyFill="1" applyBorder="1" applyAlignment="1" applyProtection="1"/>
    <xf numFmtId="4" fontId="21" fillId="8" borderId="41" xfId="0" applyNumberFormat="1" applyFont="1" applyFill="1" applyBorder="1" applyAlignment="1" applyProtection="1"/>
    <xf numFmtId="4" fontId="48" fillId="8" borderId="41" xfId="0" applyNumberFormat="1" applyFont="1" applyFill="1" applyBorder="1" applyAlignment="1" applyProtection="1"/>
    <xf numFmtId="0" fontId="48" fillId="29" borderId="10" xfId="0" applyFont="1" applyFill="1" applyBorder="1" applyAlignment="1" applyProtection="1">
      <alignment horizontal="left" wrapText="1"/>
    </xf>
    <xf numFmtId="10" fontId="48" fillId="29" borderId="40" xfId="0" applyNumberFormat="1" applyFont="1" applyFill="1" applyBorder="1" applyAlignment="1" applyProtection="1"/>
    <xf numFmtId="4" fontId="48" fillId="29" borderId="39" xfId="0" applyNumberFormat="1" applyFont="1" applyFill="1" applyBorder="1" applyAlignment="1" applyProtection="1"/>
    <xf numFmtId="4" fontId="48" fillId="29" borderId="38" xfId="0" applyNumberFormat="1" applyFont="1" applyFill="1" applyBorder="1" applyAlignment="1" applyProtection="1"/>
    <xf numFmtId="4" fontId="48" fillId="29" borderId="36" xfId="0" applyNumberFormat="1" applyFont="1" applyFill="1" applyBorder="1" applyAlignment="1" applyProtection="1"/>
    <xf numFmtId="4" fontId="48" fillId="29" borderId="24" xfId="0" applyNumberFormat="1" applyFont="1" applyFill="1" applyBorder="1" applyAlignment="1" applyProtection="1"/>
    <xf numFmtId="4" fontId="48" fillId="29" borderId="37" xfId="0" applyNumberFormat="1" applyFont="1" applyFill="1" applyBorder="1" applyAlignment="1" applyProtection="1"/>
    <xf numFmtId="4" fontId="48" fillId="17" borderId="83" xfId="0" applyNumberFormat="1" applyFont="1" applyFill="1" applyBorder="1" applyAlignment="1" applyProtection="1"/>
    <xf numFmtId="4" fontId="48" fillId="29" borderId="84" xfId="0" applyNumberFormat="1" applyFont="1" applyFill="1" applyBorder="1" applyAlignment="1" applyProtection="1"/>
    <xf numFmtId="0" fontId="48" fillId="8" borderId="0" xfId="0" applyFont="1" applyFill="1" applyBorder="1" applyAlignment="1" applyProtection="1"/>
    <xf numFmtId="3" fontId="48" fillId="8" borderId="0" xfId="0" applyNumberFormat="1" applyFont="1" applyFill="1" applyBorder="1" applyAlignment="1" applyProtection="1"/>
    <xf numFmtId="3" fontId="49" fillId="8" borderId="0" xfId="0" applyNumberFormat="1" applyFont="1" applyFill="1" applyBorder="1" applyAlignment="1" applyProtection="1"/>
    <xf numFmtId="0" fontId="45" fillId="8" borderId="0" xfId="0" applyFont="1" applyFill="1" applyBorder="1" applyAlignment="1" applyProtection="1"/>
    <xf numFmtId="0" fontId="45" fillId="8" borderId="0" xfId="0" applyFont="1" applyFill="1" applyAlignment="1" applyProtection="1"/>
    <xf numFmtId="0" fontId="47" fillId="8" borderId="0" xfId="0" applyFont="1" applyFill="1" applyBorder="1" applyAlignment="1" applyProtection="1"/>
    <xf numFmtId="3" fontId="47" fillId="8" borderId="0" xfId="0" applyNumberFormat="1" applyFont="1" applyFill="1" applyBorder="1" applyAlignment="1" applyProtection="1"/>
    <xf numFmtId="3" fontId="47" fillId="8" borderId="0" xfId="0" applyNumberFormat="1" applyFont="1" applyFill="1" applyAlignment="1" applyProtection="1"/>
    <xf numFmtId="4" fontId="47" fillId="8" borderId="0" xfId="0" applyNumberFormat="1" applyFont="1" applyFill="1" applyAlignment="1" applyProtection="1"/>
    <xf numFmtId="0" fontId="44" fillId="8" borderId="0" xfId="18" applyFont="1" applyFill="1" applyProtection="1"/>
    <xf numFmtId="4" fontId="44" fillId="8" borderId="0" xfId="0" applyNumberFormat="1" applyFont="1" applyFill="1" applyBorder="1" applyAlignment="1" applyProtection="1"/>
    <xf numFmtId="4" fontId="47" fillId="8" borderId="0" xfId="0" applyNumberFormat="1" applyFont="1" applyFill="1" applyBorder="1" applyAlignment="1" applyProtection="1"/>
    <xf numFmtId="0" fontId="45" fillId="8" borderId="0" xfId="0" applyFont="1" applyFill="1" applyAlignment="1" applyProtection="1">
      <alignment horizontal="left"/>
    </xf>
    <xf numFmtId="0" fontId="19" fillId="8" borderId="0" xfId="0" applyFont="1" applyFill="1" applyAlignment="1" applyProtection="1"/>
    <xf numFmtId="3" fontId="19" fillId="8" borderId="0" xfId="0" applyNumberFormat="1" applyFont="1" applyFill="1" applyAlignment="1" applyProtection="1"/>
    <xf numFmtId="10" fontId="47" fillId="8" borderId="0" xfId="21" applyNumberFormat="1" applyFont="1" applyFill="1" applyAlignment="1" applyProtection="1"/>
    <xf numFmtId="0" fontId="15" fillId="8" borderId="0" xfId="0" applyFont="1" applyFill="1" applyBorder="1" applyAlignment="1" applyProtection="1"/>
    <xf numFmtId="0" fontId="44" fillId="8" borderId="0" xfId="0" quotePrefix="1" applyFont="1" applyFill="1" applyAlignment="1" applyProtection="1"/>
    <xf numFmtId="0" fontId="44" fillId="8" borderId="0" xfId="0" applyFont="1" applyFill="1" applyAlignment="1" applyProtection="1">
      <alignment horizontal="right"/>
    </xf>
    <xf numFmtId="0" fontId="44" fillId="8" borderId="0" xfId="0" quotePrefix="1" applyFont="1" applyFill="1" applyBorder="1" applyAlignment="1" applyProtection="1">
      <alignment horizontal="left"/>
    </xf>
    <xf numFmtId="0" fontId="46" fillId="8" borderId="0" xfId="0" applyFont="1" applyFill="1" applyAlignment="1" applyProtection="1"/>
    <xf numFmtId="0" fontId="16" fillId="8" borderId="0" xfId="0" applyFont="1" applyFill="1" applyAlignment="1" applyProtection="1">
      <alignment horizontal="left"/>
    </xf>
    <xf numFmtId="3" fontId="21" fillId="8" borderId="0" xfId="0" applyNumberFormat="1" applyFont="1" applyFill="1" applyAlignment="1" applyProtection="1"/>
    <xf numFmtId="0" fontId="44" fillId="8" borderId="0" xfId="0" applyFont="1" applyFill="1" applyAlignment="1" applyProtection="1">
      <alignment horizontal="left" indent="3"/>
    </xf>
    <xf numFmtId="0" fontId="44" fillId="8" borderId="0" xfId="0" applyFont="1" applyFill="1" applyAlignment="1" applyProtection="1">
      <alignment horizontal="left" indent="13"/>
    </xf>
    <xf numFmtId="0" fontId="44" fillId="8" borderId="0" xfId="0" quotePrefix="1" applyFont="1" applyFill="1" applyAlignment="1" applyProtection="1">
      <alignment horizontal="left"/>
    </xf>
    <xf numFmtId="0" fontId="44" fillId="8" borderId="0" xfId="0" quotePrefix="1" applyFont="1" applyFill="1" applyAlignment="1" applyProtection="1">
      <alignment horizontal="left" indent="13"/>
    </xf>
    <xf numFmtId="0" fontId="21" fillId="0" borderId="0" xfId="0" applyFont="1" applyFill="1" applyBorder="1" applyAlignment="1" applyProtection="1">
      <alignment horizontal="left" vertical="center" wrapText="1"/>
      <protection locked="0"/>
    </xf>
    <xf numFmtId="3" fontId="48" fillId="8" borderId="0" xfId="0" applyNumberFormat="1" applyFont="1" applyFill="1" applyBorder="1" applyAlignment="1" applyProtection="1">
      <protection locked="0"/>
    </xf>
    <xf numFmtId="0" fontId="48" fillId="8" borderId="0" xfId="0" applyFont="1" applyFill="1" applyBorder="1" applyAlignment="1" applyProtection="1">
      <protection locked="0"/>
    </xf>
    <xf numFmtId="49" fontId="44" fillId="8" borderId="0" xfId="0" applyNumberFormat="1" applyFont="1" applyFill="1" applyBorder="1" applyAlignment="1" applyProtection="1">
      <protection locked="0"/>
    </xf>
    <xf numFmtId="0" fontId="44" fillId="8" borderId="0" xfId="0" applyFont="1" applyFill="1" applyBorder="1" applyAlignment="1" applyProtection="1">
      <protection locked="0"/>
    </xf>
    <xf numFmtId="0" fontId="45" fillId="8" borderId="0" xfId="0" applyFont="1" applyFill="1" applyBorder="1" applyAlignment="1" applyProtection="1">
      <protection locked="0"/>
    </xf>
    <xf numFmtId="0" fontId="47" fillId="8" borderId="0" xfId="0" applyFont="1" applyFill="1" applyAlignment="1" applyProtection="1">
      <protection locked="0"/>
    </xf>
    <xf numFmtId="0" fontId="45" fillId="8" borderId="0" xfId="0" applyFont="1" applyFill="1" applyAlignment="1" applyProtection="1">
      <protection locked="0"/>
    </xf>
    <xf numFmtId="0" fontId="44" fillId="8" borderId="0" xfId="0" applyFont="1" applyFill="1" applyAlignment="1" applyProtection="1">
      <protection locked="0"/>
    </xf>
    <xf numFmtId="3" fontId="44" fillId="8" borderId="0" xfId="0" applyNumberFormat="1" applyFont="1" applyFill="1" applyAlignment="1" applyProtection="1">
      <protection locked="0"/>
    </xf>
    <xf numFmtId="0" fontId="21" fillId="20" borderId="10" xfId="0" applyFont="1" applyFill="1" applyBorder="1" applyAlignment="1" applyProtection="1">
      <alignment horizontal="center"/>
      <protection locked="0"/>
    </xf>
    <xf numFmtId="0" fontId="53" fillId="20" borderId="10" xfId="0" applyFont="1" applyFill="1" applyBorder="1" applyAlignment="1" applyProtection="1">
      <alignment horizontal="center"/>
      <protection locked="0"/>
    </xf>
    <xf numFmtId="3" fontId="21" fillId="20" borderId="10" xfId="0" applyNumberFormat="1" applyFont="1" applyFill="1" applyBorder="1" applyAlignment="1" applyProtection="1">
      <alignment horizontal="center"/>
      <protection locked="0"/>
    </xf>
    <xf numFmtId="0" fontId="21" fillId="20" borderId="0" xfId="0" applyFont="1" applyFill="1" applyBorder="1" applyAlignment="1" applyProtection="1">
      <protection locked="0"/>
    </xf>
    <xf numFmtId="0" fontId="21" fillId="20" borderId="18" xfId="0" applyFont="1" applyFill="1" applyBorder="1" applyAlignment="1" applyProtection="1">
      <alignment horizontal="center"/>
      <protection locked="0"/>
    </xf>
    <xf numFmtId="0" fontId="21" fillId="20" borderId="19" xfId="0" applyFont="1" applyFill="1" applyBorder="1" applyAlignment="1" applyProtection="1">
      <alignment horizontal="center"/>
      <protection locked="0"/>
    </xf>
    <xf numFmtId="165" fontId="21" fillId="17" borderId="0" xfId="21" applyNumberFormat="1" applyFont="1" applyFill="1" applyBorder="1" applyAlignment="1" applyProtection="1">
      <alignment horizontal="right"/>
    </xf>
    <xf numFmtId="0" fontId="21" fillId="17" borderId="0" xfId="0" applyFont="1" applyFill="1" applyAlignment="1" applyProtection="1">
      <alignment vertical="top" wrapText="1"/>
      <protection locked="0"/>
    </xf>
    <xf numFmtId="3" fontId="2" fillId="0" borderId="0" xfId="0" applyNumberFormat="1" applyFont="1" applyAlignment="1" applyProtection="1">
      <alignment vertical="top" wrapText="1"/>
    </xf>
    <xf numFmtId="1" fontId="2" fillId="0" borderId="0" xfId="0" applyNumberFormat="1" applyFont="1" applyAlignment="1" applyProtection="1">
      <alignment vertical="top" wrapText="1"/>
    </xf>
    <xf numFmtId="0" fontId="42" fillId="0" borderId="10" xfId="0" applyFont="1" applyFill="1" applyBorder="1" applyAlignment="1" applyProtection="1">
      <alignment vertical="top" wrapText="1"/>
    </xf>
    <xf numFmtId="0" fontId="42" fillId="0" borderId="10" xfId="0" applyFont="1" applyBorder="1" applyAlignment="1" applyProtection="1">
      <alignment vertical="top" wrapText="1"/>
    </xf>
    <xf numFmtId="165" fontId="2" fillId="0" borderId="0" xfId="21" applyNumberFormat="1" applyFont="1" applyAlignment="1" applyProtection="1">
      <alignment vertical="top" wrapText="1"/>
    </xf>
    <xf numFmtId="0" fontId="25" fillId="8" borderId="10" xfId="0" applyFont="1" applyFill="1" applyBorder="1" applyAlignment="1" applyProtection="1">
      <alignment horizontal="left"/>
    </xf>
    <xf numFmtId="0" fontId="26" fillId="8" borderId="10" xfId="0" applyNumberFormat="1" applyFont="1" applyFill="1" applyBorder="1" applyAlignment="1" applyProtection="1"/>
    <xf numFmtId="9" fontId="2" fillId="0" borderId="0" xfId="21" applyFont="1" applyAlignment="1" applyProtection="1">
      <alignment vertical="top" wrapText="1"/>
    </xf>
    <xf numFmtId="0" fontId="26" fillId="8" borderId="10" xfId="0" applyNumberFormat="1" applyFont="1" applyFill="1" applyBorder="1" applyAlignment="1" applyProtection="1">
      <alignment wrapText="1"/>
    </xf>
    <xf numFmtId="0" fontId="21" fillId="20" borderId="10" xfId="0" applyFont="1" applyFill="1" applyBorder="1" applyAlignment="1" applyProtection="1">
      <alignment wrapText="1"/>
      <protection locked="0"/>
    </xf>
    <xf numFmtId="0" fontId="0" fillId="0" borderId="0" xfId="0" applyFont="1" applyAlignment="1" applyProtection="1">
      <alignment vertical="top" wrapText="1"/>
    </xf>
    <xf numFmtId="0" fontId="25" fillId="0" borderId="10" xfId="0" applyFont="1" applyFill="1" applyBorder="1" applyProtection="1"/>
    <xf numFmtId="0" fontId="23" fillId="0" borderId="0" xfId="0" applyFont="1" applyFill="1" applyProtection="1"/>
    <xf numFmtId="0" fontId="0" fillId="0" borderId="10" xfId="0" applyFont="1" applyBorder="1" applyProtection="1"/>
    <xf numFmtId="0" fontId="0" fillId="0" borderId="0" xfId="0" applyFont="1" applyProtection="1"/>
    <xf numFmtId="0" fontId="23" fillId="0" borderId="0" xfId="0" applyFont="1" applyProtection="1"/>
    <xf numFmtId="0" fontId="22" fillId="22" borderId="10" xfId="0" applyFont="1" applyFill="1" applyBorder="1" applyAlignment="1" applyProtection="1">
      <alignment horizontal="left" vertical="center" wrapText="1"/>
    </xf>
    <xf numFmtId="0" fontId="21" fillId="8" borderId="10" xfId="0" applyFont="1" applyFill="1" applyBorder="1" applyAlignment="1" applyProtection="1">
      <alignment vertical="center" wrapText="1"/>
    </xf>
    <xf numFmtId="0" fontId="22" fillId="22" borderId="10" xfId="0" applyFont="1" applyFill="1" applyBorder="1" applyAlignment="1" applyProtection="1">
      <alignment vertical="center" wrapText="1"/>
    </xf>
    <xf numFmtId="0" fontId="22" fillId="8" borderId="18" xfId="0" applyFont="1" applyFill="1" applyBorder="1" applyAlignment="1" applyProtection="1">
      <alignment vertical="center"/>
    </xf>
    <xf numFmtId="0" fontId="23" fillId="0" borderId="19" xfId="0" applyFont="1" applyBorder="1" applyProtection="1"/>
    <xf numFmtId="0" fontId="16" fillId="8" borderId="18" xfId="0" applyFont="1" applyFill="1" applyBorder="1" applyAlignment="1" applyProtection="1">
      <alignment vertical="center"/>
    </xf>
    <xf numFmtId="0" fontId="23" fillId="0" borderId="30" xfId="0" applyFont="1" applyBorder="1" applyProtection="1"/>
    <xf numFmtId="0" fontId="23" fillId="0" borderId="10" xfId="0" applyFont="1" applyBorder="1" applyProtection="1"/>
    <xf numFmtId="0" fontId="21" fillId="20" borderId="10" xfId="0" applyFont="1" applyFill="1" applyBorder="1" applyAlignment="1" applyProtection="1">
      <alignment horizontal="left" vertical="center" wrapText="1"/>
      <protection locked="0"/>
    </xf>
    <xf numFmtId="0" fontId="23" fillId="0" borderId="0" xfId="0" applyFont="1" applyBorder="1" applyProtection="1">
      <protection locked="0"/>
    </xf>
    <xf numFmtId="0" fontId="23" fillId="0" borderId="0" xfId="0" applyFont="1" applyProtection="1">
      <protection locked="0"/>
    </xf>
    <xf numFmtId="0" fontId="23" fillId="17" borderId="0" xfId="0" applyFont="1" applyFill="1" applyProtection="1">
      <protection locked="0"/>
    </xf>
    <xf numFmtId="0" fontId="21" fillId="20" borderId="10" xfId="0" applyFont="1" applyFill="1" applyBorder="1" applyAlignment="1" applyProtection="1">
      <alignment vertical="center" wrapText="1"/>
      <protection locked="0"/>
    </xf>
    <xf numFmtId="0" fontId="22" fillId="21" borderId="21" xfId="0" applyFont="1" applyFill="1" applyBorder="1" applyAlignment="1" applyProtection="1">
      <alignment horizontal="center" vertical="center"/>
      <protection locked="0"/>
    </xf>
    <xf numFmtId="0" fontId="22" fillId="21" borderId="14" xfId="0" applyFont="1" applyFill="1" applyBorder="1" applyAlignment="1" applyProtection="1">
      <alignment horizontal="center" vertical="center"/>
      <protection locked="0"/>
    </xf>
    <xf numFmtId="0" fontId="22" fillId="21" borderId="22" xfId="0" applyFont="1" applyFill="1" applyBorder="1" applyAlignment="1" applyProtection="1">
      <alignment horizontal="center" vertical="center"/>
      <protection locked="0"/>
    </xf>
    <xf numFmtId="0" fontId="21" fillId="22" borderId="10" xfId="0" applyFont="1" applyFill="1" applyBorder="1" applyAlignment="1" applyProtection="1">
      <alignment vertical="top" wrapText="1"/>
      <protection locked="0"/>
    </xf>
    <xf numFmtId="0" fontId="21" fillId="22" borderId="10" xfId="0" applyFont="1" applyFill="1" applyBorder="1" applyAlignment="1" applyProtection="1">
      <alignment vertical="top" wrapText="1"/>
    </xf>
    <xf numFmtId="0" fontId="22" fillId="21" borderId="86" xfId="0" applyFont="1" applyFill="1" applyBorder="1" applyAlignment="1" applyProtection="1">
      <alignment horizontal="center" vertical="center"/>
    </xf>
    <xf numFmtId="0" fontId="22" fillId="21" borderId="85" xfId="0" applyFont="1" applyFill="1" applyBorder="1" applyAlignment="1" applyProtection="1">
      <alignment horizontal="center" vertical="center"/>
    </xf>
    <xf numFmtId="3" fontId="26" fillId="17" borderId="0" xfId="0" applyNumberFormat="1" applyFont="1" applyFill="1" applyAlignment="1" applyProtection="1">
      <alignment vertical="top" wrapText="1"/>
    </xf>
    <xf numFmtId="3" fontId="21" fillId="22" borderId="88" xfId="19" applyNumberFormat="1" applyFont="1" applyFill="1" applyBorder="1" applyAlignment="1" applyProtection="1">
      <alignment horizontal="right"/>
    </xf>
    <xf numFmtId="0" fontId="22" fillId="16" borderId="10" xfId="2" applyNumberFormat="1" applyFont="1" applyFill="1" applyBorder="1" applyAlignment="1" applyProtection="1">
      <alignment horizontal="center"/>
    </xf>
    <xf numFmtId="171" fontId="2" fillId="0" borderId="0" xfId="0" applyNumberFormat="1" applyFont="1" applyFill="1" applyAlignment="1" applyProtection="1">
      <alignment vertical="top" wrapText="1"/>
    </xf>
    <xf numFmtId="3" fontId="21" fillId="22" borderId="88" xfId="19" applyNumberFormat="1" applyFont="1" applyFill="1" applyBorder="1" applyAlignment="1" applyProtection="1">
      <protection locked="0"/>
    </xf>
    <xf numFmtId="0" fontId="25" fillId="0" borderId="88" xfId="2" applyNumberFormat="1" applyFont="1" applyFill="1" applyBorder="1" applyAlignment="1" applyProtection="1">
      <alignment horizontal="center"/>
    </xf>
    <xf numFmtId="0" fontId="23" fillId="17" borderId="88" xfId="0" applyFont="1" applyFill="1" applyBorder="1" applyAlignment="1" applyProtection="1">
      <alignment vertical="top" wrapText="1"/>
    </xf>
    <xf numFmtId="2" fontId="23" fillId="17" borderId="88" xfId="19" applyNumberFormat="1" applyFont="1" applyFill="1" applyBorder="1" applyAlignment="1" applyProtection="1"/>
    <xf numFmtId="2" fontId="23" fillId="17" borderId="88" xfId="2" applyNumberFormat="1" applyFont="1" applyFill="1" applyBorder="1" applyAlignment="1" applyProtection="1"/>
    <xf numFmtId="2" fontId="23" fillId="0" borderId="88" xfId="19" applyNumberFormat="1" applyFont="1" applyFill="1" applyBorder="1" applyAlignment="1" applyProtection="1"/>
    <xf numFmtId="2" fontId="23" fillId="23" borderId="88" xfId="2" applyNumberFormat="1" applyFont="1" applyFill="1" applyBorder="1" applyAlignment="1" applyProtection="1"/>
    <xf numFmtId="2" fontId="23" fillId="0" borderId="88" xfId="2" applyNumberFormat="1" applyFont="1" applyFill="1" applyBorder="1" applyAlignment="1" applyProtection="1"/>
    <xf numFmtId="0" fontId="22" fillId="22" borderId="10" xfId="0" applyFont="1" applyFill="1" applyBorder="1" applyAlignment="1" applyProtection="1">
      <alignment horizontal="center" vertical="top" wrapText="1"/>
    </xf>
    <xf numFmtId="0" fontId="21" fillId="20" borderId="10" xfId="0" applyFont="1" applyFill="1" applyBorder="1" applyAlignment="1" applyProtection="1">
      <alignment vertical="top" wrapText="1"/>
    </xf>
    <xf numFmtId="4" fontId="21" fillId="20" borderId="10" xfId="0" applyNumberFormat="1" applyFont="1" applyFill="1" applyBorder="1" applyAlignment="1" applyProtection="1">
      <alignment vertical="top" wrapText="1"/>
    </xf>
    <xf numFmtId="4" fontId="21" fillId="22" borderId="10" xfId="0" applyNumberFormat="1" applyFont="1" applyFill="1" applyBorder="1" applyAlignment="1" applyProtection="1">
      <alignment vertical="top" wrapText="1"/>
    </xf>
    <xf numFmtId="4" fontId="22" fillId="22" borderId="10" xfId="0" applyNumberFormat="1" applyFont="1" applyFill="1" applyBorder="1" applyAlignment="1" applyProtection="1">
      <alignment horizontal="center" vertical="top" wrapText="1"/>
    </xf>
    <xf numFmtId="4" fontId="21" fillId="11" borderId="16" xfId="0" applyNumberFormat="1" applyFont="1" applyFill="1" applyBorder="1" applyAlignment="1" applyProtection="1">
      <alignment horizontal="right"/>
      <protection locked="0"/>
    </xf>
    <xf numFmtId="4" fontId="21" fillId="0" borderId="16" xfId="0" applyNumberFormat="1" applyFont="1" applyFill="1" applyBorder="1" applyAlignment="1" applyProtection="1">
      <alignment horizontal="right" wrapText="1"/>
    </xf>
    <xf numFmtId="4" fontId="22" fillId="12" borderId="16" xfId="0" applyNumberFormat="1" applyFont="1" applyFill="1" applyBorder="1" applyAlignment="1" applyProtection="1">
      <alignment horizontal="right"/>
    </xf>
    <xf numFmtId="4" fontId="21" fillId="10" borderId="10" xfId="19" applyNumberFormat="1" applyFont="1" applyFill="1" applyBorder="1" applyAlignment="1" applyProtection="1">
      <protection locked="0"/>
    </xf>
    <xf numFmtId="4" fontId="21" fillId="20" borderId="10" xfId="19" applyNumberFormat="1" applyFont="1" applyFill="1" applyBorder="1" applyAlignment="1" applyProtection="1">
      <protection locked="0"/>
    </xf>
    <xf numFmtId="4" fontId="21" fillId="22" borderId="10" xfId="19" applyNumberFormat="1" applyFont="1" applyFill="1" applyBorder="1" applyAlignment="1" applyProtection="1">
      <alignment horizontal="right"/>
    </xf>
    <xf numFmtId="178" fontId="22" fillId="10" borderId="10" xfId="4" applyNumberFormat="1" applyFont="1" applyFill="1" applyBorder="1" applyAlignment="1" applyProtection="1">
      <alignment horizontal="right" wrapText="1"/>
      <protection locked="0"/>
    </xf>
    <xf numFmtId="178" fontId="65" fillId="10" borderId="10" xfId="0" applyNumberFormat="1" applyFont="1" applyFill="1" applyBorder="1" applyAlignment="1" applyProtection="1">
      <alignment horizontal="right"/>
      <protection locked="0"/>
    </xf>
    <xf numFmtId="178" fontId="21" fillId="20" borderId="10" xfId="0" applyNumberFormat="1" applyFont="1" applyFill="1" applyBorder="1" applyAlignment="1" applyProtection="1">
      <alignment vertical="top" wrapText="1"/>
      <protection locked="0"/>
    </xf>
    <xf numFmtId="178" fontId="65" fillId="10" borderId="22" xfId="0" applyNumberFormat="1" applyFont="1" applyFill="1" applyBorder="1" applyAlignment="1" applyProtection="1">
      <alignment horizontal="right"/>
      <protection locked="0"/>
    </xf>
    <xf numFmtId="178" fontId="65" fillId="10" borderId="10" xfId="0" applyNumberFormat="1" applyFont="1" applyFill="1" applyBorder="1" applyAlignment="1" applyProtection="1">
      <protection locked="0"/>
    </xf>
    <xf numFmtId="4" fontId="21" fillId="20" borderId="16" xfId="0" applyNumberFormat="1" applyFont="1" applyFill="1" applyBorder="1" applyAlignment="1" applyProtection="1">
      <alignment horizontal="center"/>
      <protection locked="0"/>
    </xf>
    <xf numFmtId="4" fontId="21" fillId="27" borderId="10" xfId="0" applyNumberFormat="1" applyFont="1" applyFill="1" applyBorder="1" applyAlignment="1" applyProtection="1">
      <alignment horizontal="right"/>
      <protection locked="0"/>
    </xf>
    <xf numFmtId="4" fontId="21" fillId="11" borderId="10" xfId="0" applyNumberFormat="1" applyFont="1" applyFill="1" applyBorder="1" applyAlignment="1" applyProtection="1">
      <alignment horizontal="center"/>
      <protection locked="0"/>
    </xf>
    <xf numFmtId="4" fontId="21" fillId="3" borderId="10" xfId="2" applyNumberFormat="1" applyFont="1" applyBorder="1" applyAlignment="1" applyProtection="1">
      <alignment horizontal="center"/>
    </xf>
    <xf numFmtId="4" fontId="49" fillId="0" borderId="10" xfId="0" applyNumberFormat="1" applyFont="1" applyBorder="1" applyAlignment="1" applyProtection="1">
      <alignment horizontal="center"/>
      <protection locked="0"/>
    </xf>
    <xf numFmtId="4" fontId="21" fillId="0" borderId="10" xfId="0" applyNumberFormat="1" applyFont="1" applyBorder="1" applyAlignment="1" applyProtection="1">
      <alignment horizontal="center"/>
      <protection locked="0"/>
    </xf>
    <xf numFmtId="4" fontId="21" fillId="10" borderId="10" xfId="19" applyNumberFormat="1" applyFont="1" applyFill="1" applyBorder="1" applyAlignment="1" applyProtection="1">
      <alignment horizontal="right"/>
      <protection locked="0"/>
    </xf>
    <xf numFmtId="10" fontId="21" fillId="10" borderId="22" xfId="19" applyNumberFormat="1" applyFont="1" applyFill="1" applyBorder="1" applyAlignment="1" applyProtection="1">
      <alignment horizontal="right"/>
      <protection locked="0"/>
    </xf>
    <xf numFmtId="10" fontId="21" fillId="0" borderId="0" xfId="0" applyNumberFormat="1" applyFont="1" applyAlignment="1" applyProtection="1">
      <alignment horizontal="left" vertical="top" wrapText="1"/>
      <protection locked="0"/>
    </xf>
    <xf numFmtId="10" fontId="21" fillId="0" borderId="0" xfId="0" applyNumberFormat="1" applyFont="1" applyAlignment="1" applyProtection="1">
      <alignment vertical="top" wrapText="1"/>
      <protection locked="0"/>
    </xf>
    <xf numFmtId="4" fontId="71" fillId="0" borderId="0" xfId="4" applyNumberFormat="1" applyFont="1" applyAlignment="1" applyProtection="1">
      <alignment vertical="top" wrapText="1"/>
    </xf>
    <xf numFmtId="4" fontId="64" fillId="0" borderId="0" xfId="0" applyNumberFormat="1" applyFont="1" applyAlignment="1" applyProtection="1">
      <alignment vertical="top" wrapText="1"/>
      <protection locked="0"/>
    </xf>
    <xf numFmtId="179" fontId="21" fillId="27" borderId="15" xfId="0" applyNumberFormat="1" applyFont="1" applyFill="1" applyBorder="1" applyAlignment="1" applyProtection="1">
      <alignment horizontal="right"/>
      <protection locked="0"/>
    </xf>
    <xf numFmtId="179" fontId="21" fillId="20" borderId="10" xfId="4" applyNumberFormat="1" applyFont="1" applyFill="1" applyBorder="1" applyAlignment="1" applyProtection="1">
      <alignment vertical="top" wrapText="1"/>
      <protection locked="0"/>
    </xf>
    <xf numFmtId="179" fontId="65" fillId="20" borderId="10" xfId="0" applyNumberFormat="1" applyFont="1" applyFill="1" applyBorder="1" applyAlignment="1" applyProtection="1">
      <alignment horizontal="center" vertical="center"/>
      <protection locked="0"/>
    </xf>
    <xf numFmtId="179" fontId="21" fillId="0" borderId="10" xfId="4" applyNumberFormat="1" applyFont="1" applyBorder="1" applyAlignment="1" applyProtection="1">
      <alignment vertical="top" wrapText="1"/>
    </xf>
    <xf numFmtId="4" fontId="2" fillId="17" borderId="0" xfId="0" applyNumberFormat="1" applyFont="1" applyFill="1" applyAlignment="1" applyProtection="1">
      <alignment vertical="top" wrapText="1"/>
    </xf>
    <xf numFmtId="4" fontId="2" fillId="0" borderId="0" xfId="0" applyNumberFormat="1" applyFont="1" applyAlignment="1" applyProtection="1">
      <alignment vertical="top" wrapText="1"/>
    </xf>
    <xf numFmtId="2" fontId="2" fillId="0" borderId="0" xfId="0" applyNumberFormat="1" applyFont="1" applyAlignment="1" applyProtection="1">
      <alignment vertical="top" wrapText="1"/>
    </xf>
    <xf numFmtId="4" fontId="21" fillId="22" borderId="10" xfId="0" applyNumberFormat="1" applyFont="1" applyFill="1" applyBorder="1" applyAlignment="1" applyProtection="1"/>
    <xf numFmtId="4" fontId="22" fillId="29" borderId="10" xfId="0" applyNumberFormat="1" applyFont="1" applyFill="1" applyBorder="1" applyAlignment="1" applyProtection="1"/>
    <xf numFmtId="4" fontId="48" fillId="12" borderId="10" xfId="0" applyNumberFormat="1" applyFont="1" applyFill="1" applyBorder="1" applyAlignment="1" applyProtection="1"/>
    <xf numFmtId="4" fontId="50" fillId="8" borderId="10" xfId="0" applyNumberFormat="1" applyFont="1" applyFill="1" applyBorder="1" applyAlignment="1" applyProtection="1"/>
    <xf numFmtId="4" fontId="49" fillId="22" borderId="10" xfId="0" applyNumberFormat="1" applyFont="1" applyFill="1" applyBorder="1" applyAlignment="1" applyProtection="1"/>
    <xf numFmtId="4" fontId="48" fillId="29" borderId="10" xfId="0" applyNumberFormat="1" applyFont="1" applyFill="1" applyBorder="1" applyAlignment="1" applyProtection="1"/>
    <xf numFmtId="4" fontId="23" fillId="20" borderId="10" xfId="0" applyNumberFormat="1" applyFont="1" applyFill="1" applyBorder="1" applyProtection="1">
      <protection locked="0"/>
    </xf>
    <xf numFmtId="4" fontId="21" fillId="20" borderId="10" xfId="0" applyNumberFormat="1" applyFont="1" applyFill="1" applyBorder="1" applyAlignment="1" applyProtection="1">
      <alignment horizontal="center" vertical="center"/>
      <protection locked="0"/>
    </xf>
    <xf numFmtId="4" fontId="53" fillId="20" borderId="10" xfId="0" applyNumberFormat="1" applyFont="1" applyFill="1" applyBorder="1" applyAlignment="1" applyProtection="1">
      <alignment horizontal="center" vertical="center"/>
      <protection locked="0"/>
    </xf>
    <xf numFmtId="4" fontId="25" fillId="22" borderId="10" xfId="0" applyNumberFormat="1" applyFont="1" applyFill="1" applyBorder="1" applyProtection="1"/>
    <xf numFmtId="4" fontId="23" fillId="0" borderId="10" xfId="0" applyNumberFormat="1" applyFont="1" applyBorder="1" applyProtection="1"/>
    <xf numFmtId="180" fontId="23" fillId="0" borderId="10" xfId="0" applyNumberFormat="1" applyFont="1" applyBorder="1" applyProtection="1"/>
    <xf numFmtId="4" fontId="23" fillId="24" borderId="16" xfId="0" applyNumberFormat="1" applyFont="1" applyFill="1" applyBorder="1" applyAlignment="1" applyProtection="1">
      <alignment horizontal="right"/>
    </xf>
    <xf numFmtId="4" fontId="23" fillId="3" borderId="16" xfId="0" applyNumberFormat="1" applyFont="1" applyFill="1" applyBorder="1" applyAlignment="1" applyProtection="1">
      <alignment horizontal="right"/>
    </xf>
    <xf numFmtId="4" fontId="23" fillId="0" borderId="16" xfId="0" applyNumberFormat="1" applyFont="1" applyFill="1" applyBorder="1" applyAlignment="1" applyProtection="1">
      <alignment horizontal="right"/>
    </xf>
    <xf numFmtId="4" fontId="23" fillId="0" borderId="0" xfId="0" applyNumberFormat="1" applyFont="1" applyBorder="1" applyAlignment="1" applyProtection="1">
      <alignment horizontal="right" wrapText="1"/>
    </xf>
    <xf numFmtId="4" fontId="23" fillId="8" borderId="0" xfId="0" applyNumberFormat="1" applyFont="1" applyFill="1" applyBorder="1" applyAlignment="1" applyProtection="1">
      <alignment horizontal="right" wrapText="1"/>
    </xf>
    <xf numFmtId="4" fontId="25" fillId="0" borderId="16" xfId="0" applyNumberFormat="1" applyFont="1" applyBorder="1" applyAlignment="1" applyProtection="1">
      <alignment horizontal="right"/>
    </xf>
    <xf numFmtId="4" fontId="25" fillId="8" borderId="16" xfId="0" applyNumberFormat="1" applyFont="1" applyFill="1" applyBorder="1" applyAlignment="1" applyProtection="1">
      <alignment horizontal="right"/>
    </xf>
    <xf numFmtId="4" fontId="23" fillId="0" borderId="3" xfId="0" applyNumberFormat="1" applyFont="1" applyBorder="1" applyAlignment="1" applyProtection="1">
      <alignment horizontal="right" wrapText="1"/>
    </xf>
    <xf numFmtId="4" fontId="23" fillId="9" borderId="1" xfId="2" applyNumberFormat="1" applyFont="1" applyFill="1" applyAlignment="1" applyProtection="1">
      <alignment horizontal="center"/>
    </xf>
    <xf numFmtId="4" fontId="23" fillId="24" borderId="1" xfId="2" applyNumberFormat="1" applyFont="1" applyFill="1" applyAlignment="1" applyProtection="1">
      <alignment horizontal="center"/>
    </xf>
    <xf numFmtId="4" fontId="23" fillId="23" borderId="1" xfId="2" applyNumberFormat="1" applyFont="1" applyFill="1" applyAlignment="1" applyProtection="1">
      <alignment horizontal="center"/>
    </xf>
    <xf numFmtId="4" fontId="23" fillId="24" borderId="15" xfId="0" applyNumberFormat="1" applyFont="1" applyFill="1" applyBorder="1" applyAlignment="1" applyProtection="1">
      <alignment horizontal="center"/>
    </xf>
    <xf numFmtId="4" fontId="23" fillId="23" borderId="0" xfId="0" applyNumberFormat="1" applyFont="1" applyFill="1" applyBorder="1" applyAlignment="1" applyProtection="1">
      <alignment horizontal="center"/>
    </xf>
    <xf numFmtId="4" fontId="23" fillId="8" borderId="0" xfId="0" applyNumberFormat="1" applyFont="1" applyFill="1" applyBorder="1" applyAlignment="1" applyProtection="1">
      <alignment horizontal="center"/>
    </xf>
    <xf numFmtId="4" fontId="23" fillId="16" borderId="1" xfId="2" applyNumberFormat="1" applyFont="1" applyFill="1" applyAlignment="1" applyProtection="1">
      <alignment horizontal="center"/>
    </xf>
    <xf numFmtId="4" fontId="30" fillId="8" borderId="0" xfId="0" applyNumberFormat="1" applyFont="1" applyFill="1" applyBorder="1" applyAlignment="1" applyProtection="1"/>
    <xf numFmtId="4" fontId="23" fillId="0" borderId="1" xfId="2" applyNumberFormat="1" applyFont="1" applyFill="1" applyAlignment="1" applyProtection="1">
      <alignment horizontal="center"/>
    </xf>
    <xf numFmtId="4" fontId="23" fillId="9" borderId="15" xfId="0" applyNumberFormat="1" applyFont="1" applyFill="1" applyBorder="1" applyAlignment="1" applyProtection="1">
      <alignment horizontal="center"/>
    </xf>
    <xf numFmtId="4" fontId="23" fillId="9" borderId="0" xfId="2" applyNumberFormat="1" applyFont="1" applyFill="1" applyBorder="1" applyAlignment="1" applyProtection="1">
      <alignment horizontal="center"/>
    </xf>
    <xf numFmtId="4" fontId="26" fillId="9" borderId="0" xfId="2" applyNumberFormat="1" applyFont="1" applyFill="1" applyBorder="1" applyAlignment="1" applyProtection="1">
      <alignment horizontal="center"/>
    </xf>
    <xf numFmtId="4" fontId="26" fillId="16" borderId="0" xfId="2" applyNumberFormat="1" applyFont="1" applyFill="1" applyBorder="1" applyAlignment="1" applyProtection="1">
      <alignment horizontal="center"/>
    </xf>
    <xf numFmtId="4" fontId="23" fillId="8" borderId="0" xfId="0" applyNumberFormat="1" applyFont="1" applyFill="1" applyBorder="1" applyAlignment="1" applyProtection="1">
      <alignment vertical="top" wrapText="1"/>
    </xf>
    <xf numFmtId="4" fontId="26" fillId="0" borderId="0" xfId="2" applyNumberFormat="1" applyFont="1" applyFill="1" applyBorder="1" applyAlignment="1" applyProtection="1">
      <alignment horizontal="center"/>
    </xf>
    <xf numFmtId="4" fontId="23" fillId="23" borderId="15" xfId="0" applyNumberFormat="1" applyFont="1" applyFill="1" applyBorder="1" applyAlignment="1" applyProtection="1">
      <alignment horizontal="center"/>
    </xf>
    <xf numFmtId="4" fontId="23" fillId="17" borderId="15" xfId="0" applyNumberFormat="1" applyFont="1" applyFill="1" applyBorder="1" applyAlignment="1" applyProtection="1">
      <alignment horizontal="center"/>
    </xf>
    <xf numFmtId="4" fontId="25" fillId="8" borderId="15" xfId="0" applyNumberFormat="1" applyFont="1" applyFill="1" applyBorder="1" applyAlignment="1" applyProtection="1">
      <alignment horizontal="center"/>
    </xf>
    <xf numFmtId="4" fontId="25" fillId="17" borderId="15" xfId="0" applyNumberFormat="1" applyFont="1" applyFill="1" applyBorder="1" applyAlignment="1" applyProtection="1">
      <alignment horizontal="center"/>
    </xf>
    <xf numFmtId="4" fontId="23" fillId="8" borderId="6" xfId="0" applyNumberFormat="1" applyFont="1" applyFill="1" applyBorder="1" applyAlignment="1" applyProtection="1">
      <alignment vertical="top" wrapText="1"/>
    </xf>
    <xf numFmtId="4" fontId="23" fillId="17" borderId="6" xfId="0" applyNumberFormat="1" applyFont="1" applyFill="1" applyBorder="1" applyAlignment="1" applyProtection="1">
      <alignment vertical="top" wrapText="1"/>
    </xf>
    <xf numFmtId="4" fontId="23" fillId="17" borderId="6" xfId="0" applyNumberFormat="1" applyFont="1" applyFill="1" applyBorder="1" applyAlignment="1" applyProtection="1">
      <alignment horizontal="center"/>
    </xf>
    <xf numFmtId="4" fontId="23" fillId="17" borderId="0" xfId="0" applyNumberFormat="1" applyFont="1" applyFill="1" applyAlignment="1" applyProtection="1">
      <alignment vertical="top" wrapText="1"/>
    </xf>
    <xf numFmtId="4" fontId="23" fillId="17" borderId="7" xfId="0" applyNumberFormat="1" applyFont="1" applyFill="1" applyBorder="1" applyAlignment="1" applyProtection="1">
      <alignment vertical="top" wrapText="1"/>
    </xf>
    <xf numFmtId="4" fontId="23" fillId="17" borderId="20" xfId="0" applyNumberFormat="1" applyFont="1" applyFill="1" applyBorder="1" applyAlignment="1" applyProtection="1">
      <alignment vertical="top" wrapText="1"/>
    </xf>
    <xf numFmtId="4" fontId="25" fillId="8" borderId="7" xfId="0" applyNumberFormat="1" applyFont="1" applyFill="1" applyBorder="1" applyAlignment="1" applyProtection="1">
      <alignment horizontal="center"/>
    </xf>
    <xf numFmtId="4" fontId="25" fillId="17" borderId="7" xfId="0" applyNumberFormat="1" applyFont="1" applyFill="1" applyBorder="1" applyAlignment="1" applyProtection="1">
      <alignment horizontal="center"/>
    </xf>
    <xf numFmtId="4" fontId="25" fillId="17" borderId="11" xfId="0" applyNumberFormat="1" applyFont="1" applyFill="1" applyBorder="1" applyAlignment="1" applyProtection="1">
      <alignment horizontal="center"/>
    </xf>
    <xf numFmtId="4" fontId="25" fillId="0" borderId="15" xfId="0" applyNumberFormat="1" applyFont="1" applyFill="1" applyBorder="1" applyAlignment="1" applyProtection="1">
      <alignment horizontal="center"/>
    </xf>
    <xf numFmtId="4" fontId="23" fillId="0" borderId="6" xfId="0" applyNumberFormat="1" applyFont="1" applyFill="1" applyBorder="1" applyAlignment="1" applyProtection="1">
      <alignment vertical="top" wrapText="1"/>
    </xf>
    <xf numFmtId="4" fontId="23" fillId="8" borderId="6" xfId="0" applyNumberFormat="1" applyFont="1" applyFill="1" applyBorder="1" applyAlignment="1" applyProtection="1">
      <alignment horizontal="center"/>
    </xf>
    <xf numFmtId="4" fontId="23" fillId="8" borderId="0" xfId="0" applyNumberFormat="1" applyFont="1" applyFill="1" applyAlignment="1" applyProtection="1">
      <alignment vertical="top" wrapText="1"/>
    </xf>
    <xf numFmtId="4" fontId="23" fillId="8" borderId="7" xfId="0" applyNumberFormat="1" applyFont="1" applyFill="1" applyBorder="1" applyAlignment="1" applyProtection="1">
      <alignment vertical="top" wrapText="1"/>
    </xf>
    <xf numFmtId="4" fontId="23" fillId="8" borderId="20" xfId="0" applyNumberFormat="1" applyFont="1" applyFill="1" applyBorder="1" applyAlignment="1" applyProtection="1">
      <alignment vertical="top" wrapText="1"/>
    </xf>
    <xf numFmtId="4" fontId="25" fillId="0" borderId="7" xfId="0" applyNumberFormat="1" applyFont="1" applyFill="1" applyBorder="1" applyAlignment="1" applyProtection="1">
      <alignment horizontal="center"/>
    </xf>
    <xf numFmtId="4" fontId="25" fillId="8" borderId="11" xfId="0" applyNumberFormat="1" applyFont="1" applyFill="1" applyBorder="1" applyAlignment="1" applyProtection="1">
      <alignment horizontal="center"/>
    </xf>
    <xf numFmtId="4" fontId="23" fillId="8" borderId="15" xfId="0" applyNumberFormat="1" applyFont="1" applyFill="1" applyBorder="1" applyAlignment="1" applyProtection="1">
      <alignment horizontal="center"/>
    </xf>
    <xf numFmtId="4" fontId="23" fillId="0" borderId="15" xfId="0" applyNumberFormat="1" applyFont="1" applyFill="1" applyBorder="1" applyAlignment="1" applyProtection="1">
      <alignment horizontal="center"/>
    </xf>
    <xf numFmtId="4" fontId="23" fillId="8" borderId="16" xfId="0" applyNumberFormat="1" applyFont="1" applyFill="1" applyBorder="1" applyAlignment="1" applyProtection="1">
      <alignment horizontal="center"/>
    </xf>
    <xf numFmtId="4" fontId="25" fillId="8" borderId="21" xfId="0" applyNumberFormat="1" applyFont="1" applyFill="1" applyBorder="1" applyAlignment="1" applyProtection="1">
      <alignment horizontal="center"/>
    </xf>
    <xf numFmtId="4" fontId="29" fillId="8" borderId="15" xfId="0" applyNumberFormat="1" applyFont="1" applyFill="1" applyBorder="1" applyAlignment="1" applyProtection="1">
      <alignment horizontal="center"/>
    </xf>
    <xf numFmtId="4" fontId="23" fillId="30" borderId="15" xfId="0" applyNumberFormat="1" applyFont="1" applyFill="1" applyBorder="1" applyAlignment="1" applyProtection="1">
      <alignment horizontal="center"/>
    </xf>
    <xf numFmtId="4" fontId="29" fillId="0" borderId="15" xfId="0" applyNumberFormat="1" applyFont="1" applyFill="1" applyBorder="1" applyAlignment="1" applyProtection="1">
      <alignment horizontal="center"/>
    </xf>
    <xf numFmtId="4" fontId="23" fillId="0" borderId="15" xfId="0" applyNumberFormat="1" applyFont="1" applyBorder="1" applyAlignment="1" applyProtection="1">
      <alignment horizontal="center"/>
    </xf>
    <xf numFmtId="4" fontId="25" fillId="0" borderId="15" xfId="0" applyNumberFormat="1" applyFont="1" applyBorder="1" applyAlignment="1" applyProtection="1">
      <alignment horizontal="center"/>
    </xf>
    <xf numFmtId="4" fontId="25" fillId="23" borderId="15" xfId="0" applyNumberFormat="1" applyFont="1" applyFill="1" applyBorder="1" applyAlignment="1" applyProtection="1">
      <alignment horizontal="center"/>
    </xf>
    <xf numFmtId="4" fontId="25" fillId="30" borderId="15" xfId="0" applyNumberFormat="1" applyFont="1" applyFill="1" applyBorder="1" applyAlignment="1" applyProtection="1">
      <alignment horizontal="center"/>
    </xf>
    <xf numFmtId="4" fontId="59" fillId="0" borderId="0" xfId="0" applyNumberFormat="1" applyFont="1" applyFill="1" applyBorder="1" applyAlignment="1" applyProtection="1">
      <alignment vertical="top" wrapText="1"/>
    </xf>
    <xf numFmtId="4" fontId="26" fillId="0" borderId="0" xfId="0" applyNumberFormat="1" applyFont="1" applyFill="1" applyAlignment="1" applyProtection="1">
      <alignment vertical="top" wrapText="1"/>
    </xf>
    <xf numFmtId="4" fontId="26" fillId="8" borderId="0" xfId="0" applyNumberFormat="1" applyFont="1" applyFill="1" applyAlignment="1" applyProtection="1">
      <alignment vertical="top" wrapText="1"/>
    </xf>
    <xf numFmtId="4" fontId="23" fillId="0" borderId="0" xfId="0" applyNumberFormat="1" applyFont="1" applyAlignment="1" applyProtection="1">
      <alignment vertical="top" wrapText="1"/>
    </xf>
    <xf numFmtId="4" fontId="23" fillId="23" borderId="16" xfId="0" applyNumberFormat="1" applyFont="1" applyFill="1" applyBorder="1" applyAlignment="1" applyProtection="1">
      <alignment horizontal="center"/>
    </xf>
    <xf numFmtId="4" fontId="23" fillId="0" borderId="16" xfId="0" applyNumberFormat="1" applyFont="1" applyFill="1" applyBorder="1" applyAlignment="1" applyProtection="1">
      <alignment horizontal="center"/>
    </xf>
    <xf numFmtId="4" fontId="25" fillId="8" borderId="16" xfId="0" applyNumberFormat="1" applyFont="1" applyFill="1" applyBorder="1" applyAlignment="1" applyProtection="1">
      <alignment horizontal="center"/>
    </xf>
    <xf numFmtId="4" fontId="23" fillId="17" borderId="16" xfId="0" applyNumberFormat="1" applyFont="1" applyFill="1" applyBorder="1" applyAlignment="1" applyProtection="1">
      <alignment horizontal="center"/>
    </xf>
    <xf numFmtId="4" fontId="25" fillId="8" borderId="0" xfId="0" applyNumberFormat="1" applyFont="1" applyFill="1" applyBorder="1" applyAlignment="1" applyProtection="1">
      <alignment horizontal="center"/>
    </xf>
    <xf numFmtId="4" fontId="0" fillId="8" borderId="0" xfId="0" applyNumberFormat="1" applyFont="1" applyFill="1" applyAlignment="1" applyProtection="1">
      <alignment vertical="top" wrapText="1"/>
    </xf>
    <xf numFmtId="4" fontId="26" fillId="8" borderId="0" xfId="21" applyNumberFormat="1" applyFont="1" applyFill="1" applyBorder="1" applyAlignment="1" applyProtection="1">
      <alignment horizontal="center"/>
    </xf>
    <xf numFmtId="4" fontId="26" fillId="8" borderId="0" xfId="0" applyNumberFormat="1" applyFont="1" applyFill="1" applyBorder="1" applyAlignment="1" applyProtection="1">
      <alignment horizontal="center"/>
    </xf>
    <xf numFmtId="4" fontId="24" fillId="8" borderId="0" xfId="0" applyNumberFormat="1" applyFont="1" applyFill="1" applyBorder="1" applyAlignment="1" applyProtection="1">
      <alignment horizontal="center"/>
    </xf>
    <xf numFmtId="4" fontId="2" fillId="8" borderId="0" xfId="0" applyNumberFormat="1" applyFont="1" applyFill="1" applyAlignment="1" applyProtection="1">
      <alignment vertical="top" wrapText="1"/>
    </xf>
    <xf numFmtId="4" fontId="43" fillId="22" borderId="0" xfId="0" applyNumberFormat="1" applyFont="1" applyFill="1" applyBorder="1" applyAlignment="1" applyProtection="1">
      <alignment vertical="top" wrapText="1"/>
    </xf>
    <xf numFmtId="4" fontId="26" fillId="28" borderId="0" xfId="0" applyNumberFormat="1" applyFont="1" applyFill="1" applyBorder="1" applyAlignment="1" applyProtection="1">
      <alignment horizontal="center"/>
    </xf>
    <xf numFmtId="4" fontId="16" fillId="8" borderId="0" xfId="0" applyNumberFormat="1" applyFont="1" applyFill="1" applyBorder="1" applyAlignment="1" applyProtection="1">
      <alignment horizontal="center"/>
    </xf>
    <xf numFmtId="4" fontId="16" fillId="8" borderId="10" xfId="0" applyNumberFormat="1" applyFont="1" applyFill="1" applyBorder="1" applyAlignment="1" applyProtection="1">
      <alignment horizontal="center"/>
    </xf>
    <xf numFmtId="4" fontId="2" fillId="0" borderId="0" xfId="0" applyNumberFormat="1" applyFont="1" applyFill="1" applyAlignment="1" applyProtection="1">
      <alignment vertical="top" wrapText="1"/>
    </xf>
    <xf numFmtId="4" fontId="23" fillId="17" borderId="15" xfId="0" applyNumberFormat="1" applyFont="1" applyFill="1" applyBorder="1" applyAlignment="1" applyProtection="1">
      <alignment horizontal="center" wrapText="1"/>
    </xf>
    <xf numFmtId="4" fontId="23" fillId="0" borderId="15" xfId="0" applyNumberFormat="1" applyFont="1" applyFill="1" applyBorder="1" applyAlignment="1" applyProtection="1">
      <alignment horizontal="center" wrapText="1"/>
    </xf>
    <xf numFmtId="4" fontId="23" fillId="8" borderId="16" xfId="0" applyNumberFormat="1" applyFont="1" applyFill="1" applyBorder="1" applyAlignment="1" applyProtection="1">
      <alignment vertical="top" wrapText="1"/>
    </xf>
    <xf numFmtId="4" fontId="23" fillId="23" borderId="16" xfId="0" applyNumberFormat="1" applyFont="1" applyFill="1" applyBorder="1" applyAlignment="1" applyProtection="1">
      <alignment horizontal="right"/>
    </xf>
    <xf numFmtId="4" fontId="23" fillId="23" borderId="23" xfId="0" applyNumberFormat="1" applyFont="1" applyFill="1" applyBorder="1" applyAlignment="1" applyProtection="1">
      <alignment horizontal="right"/>
    </xf>
    <xf numFmtId="4" fontId="25" fillId="8" borderId="21" xfId="0" applyNumberFormat="1" applyFont="1" applyFill="1" applyBorder="1" applyAlignment="1" applyProtection="1">
      <alignment horizontal="right"/>
    </xf>
    <xf numFmtId="4" fontId="25" fillId="8" borderId="7" xfId="0" applyNumberFormat="1" applyFont="1" applyFill="1" applyBorder="1" applyAlignment="1" applyProtection="1">
      <alignment horizontal="right"/>
    </xf>
    <xf numFmtId="4" fontId="23" fillId="8" borderId="7" xfId="0" applyNumberFormat="1" applyFont="1" applyFill="1" applyBorder="1" applyAlignment="1" applyProtection="1">
      <alignment horizontal="right"/>
    </xf>
    <xf numFmtId="4" fontId="23" fillId="8" borderId="11" xfId="0" applyNumberFormat="1" applyFont="1" applyFill="1" applyBorder="1" applyAlignment="1" applyProtection="1">
      <alignment horizontal="right"/>
    </xf>
    <xf numFmtId="4" fontId="25" fillId="8" borderId="15" xfId="0" applyNumberFormat="1" applyFont="1" applyFill="1" applyBorder="1" applyAlignment="1" applyProtection="1">
      <alignment horizontal="right"/>
    </xf>
    <xf numFmtId="0" fontId="24" fillId="0" borderId="0" xfId="0" applyFont="1" applyAlignment="1" applyProtection="1">
      <alignment vertical="top" wrapText="1"/>
    </xf>
    <xf numFmtId="0" fontId="21" fillId="0" borderId="22" xfId="0" applyFont="1" applyFill="1" applyBorder="1" applyAlignment="1" applyProtection="1">
      <alignment vertical="top" wrapText="1"/>
    </xf>
    <xf numFmtId="4" fontId="21" fillId="0" borderId="27" xfId="0" applyNumberFormat="1" applyFont="1" applyBorder="1" applyAlignment="1" applyProtection="1">
      <alignment horizontal="right"/>
      <protection locked="0"/>
    </xf>
    <xf numFmtId="4" fontId="21" fillId="20" borderId="10" xfId="0" applyNumberFormat="1" applyFont="1" applyFill="1" applyBorder="1" applyAlignment="1" applyProtection="1">
      <alignment horizontal="center"/>
      <protection locked="0"/>
    </xf>
    <xf numFmtId="0" fontId="21" fillId="0" borderId="10" xfId="0" applyFont="1" applyFill="1" applyBorder="1" applyAlignment="1" applyProtection="1">
      <alignment horizontal="right" vertical="top" wrapText="1"/>
    </xf>
    <xf numFmtId="4" fontId="21" fillId="31" borderId="22" xfId="0" applyNumberFormat="1" applyFont="1" applyFill="1" applyBorder="1" applyAlignment="1" applyProtection="1">
      <alignment horizontal="right"/>
      <protection locked="0"/>
    </xf>
    <xf numFmtId="0" fontId="21" fillId="0" borderId="19" xfId="0" applyFont="1" applyBorder="1" applyAlignment="1" applyProtection="1">
      <alignment vertical="top" wrapText="1"/>
    </xf>
    <xf numFmtId="1" fontId="15" fillId="8" borderId="9" xfId="0" applyNumberFormat="1" applyFont="1" applyFill="1" applyBorder="1" applyAlignment="1" applyProtection="1">
      <alignment vertical="top" wrapText="1"/>
    </xf>
    <xf numFmtId="1" fontId="16" fillId="8" borderId="10" xfId="0" applyNumberFormat="1" applyFont="1" applyFill="1" applyBorder="1" applyAlignment="1" applyProtection="1">
      <alignment horizontal="center"/>
    </xf>
    <xf numFmtId="1" fontId="0" fillId="8" borderId="0" xfId="0" applyNumberFormat="1" applyFont="1" applyFill="1" applyAlignment="1" applyProtection="1">
      <alignment vertical="top" wrapText="1"/>
    </xf>
    <xf numFmtId="3" fontId="25" fillId="0" borderId="0" xfId="0" applyNumberFormat="1" applyFont="1" applyFill="1" applyAlignment="1" applyProtection="1">
      <alignment vertical="top" wrapText="1"/>
    </xf>
    <xf numFmtId="3" fontId="25" fillId="0" borderId="0" xfId="0" applyNumberFormat="1" applyFont="1" applyAlignment="1" applyProtection="1">
      <alignment vertical="top" wrapText="1"/>
    </xf>
    <xf numFmtId="0" fontId="25" fillId="0" borderId="0" xfId="0" applyFont="1" applyAlignment="1" applyProtection="1">
      <alignment vertical="top" wrapText="1"/>
    </xf>
    <xf numFmtId="0" fontId="25" fillId="8" borderId="14" xfId="0" applyFont="1" applyFill="1" applyBorder="1" applyAlignment="1" applyProtection="1">
      <alignment vertical="top" wrapText="1"/>
    </xf>
    <xf numFmtId="0" fontId="25" fillId="9" borderId="1" xfId="2" applyNumberFormat="1" applyFont="1" applyFill="1" applyAlignment="1" applyProtection="1">
      <alignment horizontal="center"/>
    </xf>
    <xf numFmtId="3" fontId="25" fillId="17" borderId="0" xfId="0" applyNumberFormat="1" applyFont="1" applyFill="1" applyAlignment="1" applyProtection="1">
      <alignment vertical="top" wrapText="1"/>
    </xf>
    <xf numFmtId="0" fontId="26" fillId="0" borderId="10" xfId="0" applyFont="1" applyBorder="1" applyAlignment="1" applyProtection="1">
      <alignment horizontal="right" vertical="top" wrapText="1"/>
    </xf>
    <xf numFmtId="2" fontId="2" fillId="0" borderId="0" xfId="21" applyNumberFormat="1" applyFont="1" applyAlignment="1" applyProtection="1">
      <alignment vertical="top" wrapText="1"/>
    </xf>
    <xf numFmtId="4" fontId="26" fillId="17" borderId="0" xfId="0" applyNumberFormat="1" applyFont="1" applyFill="1" applyBorder="1" applyAlignment="1" applyProtection="1">
      <alignment horizontal="center"/>
    </xf>
    <xf numFmtId="0" fontId="21" fillId="23" borderId="0" xfId="0" applyFont="1" applyFill="1" applyBorder="1" applyAlignment="1" applyProtection="1">
      <alignment vertical="top" wrapText="1"/>
    </xf>
    <xf numFmtId="10" fontId="65" fillId="17" borderId="0" xfId="21" applyNumberFormat="1" applyFont="1" applyFill="1" applyBorder="1" applyAlignment="1" applyProtection="1"/>
    <xf numFmtId="4" fontId="21" fillId="20" borderId="10" xfId="2" applyNumberFormat="1" applyFont="1" applyFill="1" applyBorder="1" applyAlignment="1" applyProtection="1">
      <alignment horizontal="right"/>
      <protection locked="0"/>
    </xf>
    <xf numFmtId="4" fontId="21" fillId="10" borderId="10" xfId="0" applyNumberFormat="1" applyFont="1" applyFill="1" applyBorder="1" applyAlignment="1" applyProtection="1">
      <alignment vertical="top" wrapText="1"/>
      <protection locked="0"/>
    </xf>
    <xf numFmtId="4" fontId="21" fillId="27" borderId="15" xfId="0" applyNumberFormat="1" applyFont="1" applyFill="1" applyBorder="1" applyAlignment="1" applyProtection="1">
      <alignment horizontal="right"/>
      <protection locked="0"/>
    </xf>
    <xf numFmtId="4" fontId="65" fillId="20" borderId="10" xfId="0" applyNumberFormat="1" applyFont="1" applyFill="1" applyBorder="1" applyAlignment="1" applyProtection="1">
      <alignment horizontal="center" vertical="center"/>
      <protection locked="0"/>
    </xf>
    <xf numFmtId="4" fontId="21" fillId="20" borderId="10" xfId="4" applyNumberFormat="1" applyFont="1" applyFill="1" applyBorder="1" applyAlignment="1" applyProtection="1">
      <alignment vertical="top" wrapText="1"/>
      <protection locked="0"/>
    </xf>
    <xf numFmtId="4" fontId="21" fillId="27" borderId="21" xfId="0" applyNumberFormat="1" applyFont="1" applyFill="1" applyBorder="1" applyAlignment="1" applyProtection="1">
      <alignment horizontal="right"/>
      <protection locked="0"/>
    </xf>
    <xf numFmtId="4" fontId="65" fillId="20" borderId="27" xfId="0" applyNumberFormat="1" applyFont="1" applyFill="1" applyBorder="1" applyAlignment="1" applyProtection="1">
      <alignment horizontal="center" vertical="center"/>
      <protection locked="0"/>
    </xf>
    <xf numFmtId="4" fontId="21" fillId="27" borderId="16" xfId="0" applyNumberFormat="1" applyFont="1" applyFill="1" applyBorder="1" applyAlignment="1" applyProtection="1">
      <alignment horizontal="right"/>
      <protection locked="0"/>
    </xf>
    <xf numFmtId="0" fontId="0" fillId="0" borderId="0" xfId="0" applyProtection="1"/>
    <xf numFmtId="0" fontId="75" fillId="17" borderId="0" xfId="0" applyFont="1" applyFill="1" applyAlignment="1" applyProtection="1">
      <alignment vertical="top"/>
    </xf>
    <xf numFmtId="0" fontId="76" fillId="17" borderId="0" xfId="0" applyFont="1" applyFill="1" applyAlignment="1" applyProtection="1">
      <alignment vertical="top"/>
    </xf>
    <xf numFmtId="0" fontId="81" fillId="17" borderId="0" xfId="43" applyFont="1" applyFill="1" applyBorder="1" applyProtection="1"/>
    <xf numFmtId="0" fontId="81" fillId="8" borderId="0" xfId="43" applyFont="1" applyFill="1" applyBorder="1" applyProtection="1"/>
    <xf numFmtId="0" fontId="81" fillId="17" borderId="0" xfId="43" applyFont="1" applyFill="1" applyProtection="1"/>
    <xf numFmtId="49" fontId="81" fillId="17" borderId="0" xfId="43" applyNumberFormat="1" applyFont="1" applyFill="1" applyAlignment="1" applyProtection="1">
      <alignment horizontal="right"/>
    </xf>
    <xf numFmtId="0" fontId="81" fillId="17" borderId="0" xfId="43" applyNumberFormat="1" applyFont="1" applyFill="1" applyProtection="1"/>
    <xf numFmtId="181" fontId="81" fillId="17" borderId="0" xfId="43" applyNumberFormat="1" applyFont="1" applyFill="1" applyProtection="1"/>
    <xf numFmtId="0" fontId="82" fillId="17" borderId="0" xfId="43" applyFont="1" applyFill="1" applyProtection="1"/>
    <xf numFmtId="181" fontId="81" fillId="17" borderId="0" xfId="43" applyNumberFormat="1" applyFont="1" applyFill="1" applyBorder="1" applyProtection="1"/>
    <xf numFmtId="182" fontId="79" fillId="17" borderId="0" xfId="44" applyFont="1" applyFill="1" applyBorder="1" applyProtection="1"/>
    <xf numFmtId="182" fontId="79" fillId="17" borderId="52" xfId="44" applyFont="1" applyFill="1" applyBorder="1" applyProtection="1"/>
    <xf numFmtId="182" fontId="79" fillId="17" borderId="74" xfId="44" applyFont="1" applyFill="1" applyBorder="1" applyProtection="1"/>
    <xf numFmtId="4" fontId="79" fillId="17" borderId="53" xfId="44" applyNumberFormat="1" applyFont="1" applyFill="1" applyBorder="1" applyProtection="1"/>
    <xf numFmtId="4" fontId="79" fillId="17" borderId="52" xfId="44" applyNumberFormat="1" applyFont="1" applyFill="1" applyBorder="1" applyAlignment="1" applyProtection="1">
      <alignment horizontal="right"/>
    </xf>
    <xf numFmtId="4" fontId="79" fillId="17" borderId="74" xfId="44" applyNumberFormat="1" applyFont="1" applyFill="1" applyBorder="1" applyAlignment="1" applyProtection="1">
      <alignment horizontal="right"/>
    </xf>
    <xf numFmtId="4" fontId="80" fillId="0" borderId="53" xfId="0" applyNumberFormat="1" applyFont="1" applyBorder="1" applyProtection="1"/>
    <xf numFmtId="0" fontId="83" fillId="0" borderId="82" xfId="0" applyFont="1" applyBorder="1" applyProtection="1"/>
    <xf numFmtId="16" fontId="83" fillId="0" borderId="0" xfId="0" applyNumberFormat="1" applyFont="1" applyBorder="1" applyProtection="1"/>
    <xf numFmtId="0" fontId="83" fillId="0" borderId="0" xfId="0" applyFont="1" applyBorder="1" applyProtection="1"/>
    <xf numFmtId="183" fontId="81" fillId="33" borderId="10" xfId="43" applyNumberFormat="1" applyFont="1" applyFill="1" applyBorder="1" applyProtection="1">
      <protection locked="0"/>
    </xf>
    <xf numFmtId="0" fontId="83" fillId="0" borderId="60" xfId="0" applyFont="1" applyBorder="1" applyProtection="1"/>
    <xf numFmtId="4" fontId="83" fillId="0" borderId="82" xfId="0" applyNumberFormat="1" applyFont="1" applyBorder="1" applyProtection="1"/>
    <xf numFmtId="4" fontId="83" fillId="0" borderId="0" xfId="0" applyNumberFormat="1" applyFont="1" applyBorder="1" applyProtection="1"/>
    <xf numFmtId="4" fontId="83" fillId="0" borderId="60" xfId="0" applyNumberFormat="1" applyFont="1" applyBorder="1" applyProtection="1"/>
    <xf numFmtId="0" fontId="83" fillId="0" borderId="0" xfId="0" applyFont="1" applyProtection="1"/>
    <xf numFmtId="0" fontId="83" fillId="0" borderId="0" xfId="0" applyFont="1" applyProtection="1">
      <protection locked="0"/>
    </xf>
    <xf numFmtId="0" fontId="80" fillId="0" borderId="82" xfId="0" applyFont="1" applyBorder="1" applyProtection="1"/>
    <xf numFmtId="0" fontId="80" fillId="0" borderId="0" xfId="0" applyFont="1" applyBorder="1" applyProtection="1"/>
    <xf numFmtId="183" fontId="81" fillId="17" borderId="26" xfId="43" applyNumberFormat="1" applyFont="1" applyFill="1" applyBorder="1" applyProtection="1"/>
    <xf numFmtId="4" fontId="80" fillId="0" borderId="82" xfId="0" applyNumberFormat="1" applyFont="1" applyBorder="1" applyProtection="1"/>
    <xf numFmtId="4" fontId="80" fillId="0" borderId="0" xfId="0" applyNumberFormat="1" applyFont="1" applyBorder="1" applyProtection="1"/>
    <xf numFmtId="4" fontId="80" fillId="0" borderId="60" xfId="0" applyNumberFormat="1" applyFont="1" applyBorder="1" applyProtection="1"/>
    <xf numFmtId="0" fontId="80" fillId="0" borderId="0" xfId="0" applyFont="1" applyProtection="1"/>
    <xf numFmtId="0" fontId="80" fillId="0" borderId="0" xfId="0" applyFont="1" applyProtection="1">
      <protection locked="0"/>
    </xf>
    <xf numFmtId="0" fontId="80" fillId="0" borderId="31" xfId="0" applyFont="1" applyBorder="1" applyProtection="1"/>
    <xf numFmtId="0" fontId="80" fillId="0" borderId="25" xfId="0" applyFont="1" applyBorder="1" applyProtection="1"/>
    <xf numFmtId="0" fontId="83" fillId="0" borderId="30" xfId="0" applyFont="1" applyBorder="1" applyProtection="1"/>
    <xf numFmtId="4" fontId="80" fillId="0" borderId="31" xfId="0" applyNumberFormat="1" applyFont="1" applyBorder="1" applyProtection="1"/>
    <xf numFmtId="4" fontId="80" fillId="0" borderId="25" xfId="0" applyNumberFormat="1" applyFont="1" applyBorder="1" applyProtection="1"/>
    <xf numFmtId="4" fontId="80" fillId="0" borderId="30" xfId="0" applyNumberFormat="1" applyFont="1" applyBorder="1" applyProtection="1"/>
    <xf numFmtId="4" fontId="80" fillId="0" borderId="0" xfId="0" applyNumberFormat="1" applyFont="1" applyProtection="1"/>
    <xf numFmtId="0" fontId="81" fillId="17" borderId="0" xfId="43" applyFont="1" applyFill="1" applyAlignment="1" applyProtection="1">
      <alignment horizontal="center"/>
    </xf>
    <xf numFmtId="10" fontId="79" fillId="17" borderId="24" xfId="43" applyNumberFormat="1" applyFont="1" applyFill="1" applyBorder="1" applyAlignment="1" applyProtection="1">
      <alignment horizontal="center"/>
    </xf>
    <xf numFmtId="184" fontId="81" fillId="17" borderId="0" xfId="43" applyNumberFormat="1" applyFont="1" applyFill="1" applyBorder="1" applyProtection="1"/>
    <xf numFmtId="0" fontId="79" fillId="17" borderId="0" xfId="43" applyFont="1" applyFill="1" applyProtection="1"/>
    <xf numFmtId="0" fontId="81" fillId="17" borderId="25" xfId="43" applyFont="1" applyFill="1" applyBorder="1" applyProtection="1"/>
    <xf numFmtId="0" fontId="81" fillId="17" borderId="31" xfId="43" applyFont="1" applyFill="1" applyBorder="1" applyAlignment="1" applyProtection="1">
      <alignment horizontal="center" wrapText="1"/>
    </xf>
    <xf numFmtId="0" fontId="81" fillId="17" borderId="25" xfId="43" applyFont="1" applyFill="1" applyBorder="1" applyAlignment="1" applyProtection="1">
      <alignment horizontal="center" wrapText="1"/>
    </xf>
    <xf numFmtId="0" fontId="78" fillId="17" borderId="25" xfId="43" applyFont="1" applyFill="1" applyBorder="1" applyProtection="1"/>
    <xf numFmtId="0" fontId="81" fillId="17" borderId="82" xfId="43" applyFont="1" applyFill="1" applyBorder="1" applyAlignment="1" applyProtection="1">
      <alignment horizontal="left" wrapText="1"/>
    </xf>
    <xf numFmtId="0" fontId="81" fillId="17" borderId="0" xfId="43" applyFont="1" applyFill="1" applyBorder="1" applyAlignment="1" applyProtection="1">
      <alignment horizontal="left" wrapText="1"/>
    </xf>
    <xf numFmtId="185" fontId="79" fillId="17" borderId="0" xfId="43" applyNumberFormat="1" applyFont="1" applyFill="1" applyProtection="1"/>
    <xf numFmtId="185" fontId="79" fillId="17" borderId="0" xfId="43" applyNumberFormat="1" applyFont="1" applyFill="1" applyBorder="1" applyProtection="1"/>
    <xf numFmtId="0" fontId="79" fillId="17" borderId="0" xfId="43" applyFont="1" applyFill="1" applyBorder="1" applyProtection="1"/>
    <xf numFmtId="0" fontId="81" fillId="17" borderId="82" xfId="43" applyFont="1" applyFill="1" applyBorder="1" applyAlignment="1" applyProtection="1">
      <alignment horizontal="left"/>
    </xf>
    <xf numFmtId="0" fontId="81" fillId="17" borderId="0" xfId="43" applyFont="1" applyFill="1" applyBorder="1" applyAlignment="1" applyProtection="1">
      <alignment horizontal="left"/>
    </xf>
    <xf numFmtId="0" fontId="81" fillId="17" borderId="31" xfId="43" applyFont="1" applyFill="1" applyBorder="1" applyAlignment="1" applyProtection="1">
      <alignment horizontal="center"/>
    </xf>
    <xf numFmtId="0" fontId="81" fillId="17" borderId="0" xfId="43" applyFont="1" applyFill="1" applyBorder="1" applyAlignment="1" applyProtection="1">
      <alignment horizontal="center"/>
    </xf>
    <xf numFmtId="185" fontId="81" fillId="17" borderId="0" xfId="43" applyNumberFormat="1" applyFont="1" applyFill="1" applyProtection="1"/>
    <xf numFmtId="182" fontId="79" fillId="17" borderId="26" xfId="44" applyFont="1" applyFill="1" applyBorder="1" applyProtection="1"/>
    <xf numFmtId="182" fontId="79" fillId="17" borderId="26" xfId="44" applyFont="1" applyFill="1" applyBorder="1" applyAlignment="1" applyProtection="1">
      <alignment horizontal="right"/>
    </xf>
    <xf numFmtId="182" fontId="79" fillId="17" borderId="0" xfId="44" applyFont="1" applyFill="1" applyBorder="1" applyAlignment="1" applyProtection="1">
      <alignment horizontal="right"/>
    </xf>
    <xf numFmtId="9" fontId="81" fillId="33" borderId="0" xfId="43" applyNumberFormat="1" applyFont="1" applyFill="1" applyBorder="1" applyProtection="1">
      <protection locked="0"/>
    </xf>
    <xf numFmtId="0" fontId="81" fillId="17" borderId="0" xfId="43" applyFont="1" applyFill="1" applyProtection="1">
      <protection locked="0"/>
    </xf>
    <xf numFmtId="0" fontId="81" fillId="17" borderId="0" xfId="43" applyFont="1" applyFill="1" applyBorder="1" applyProtection="1">
      <protection locked="0"/>
    </xf>
    <xf numFmtId="0" fontId="0" fillId="0" borderId="0" xfId="0" applyProtection="1">
      <protection locked="0"/>
    </xf>
    <xf numFmtId="0" fontId="83" fillId="0" borderId="87" xfId="0" applyFont="1" applyBorder="1" applyProtection="1"/>
    <xf numFmtId="4" fontId="25" fillId="8" borderId="6" xfId="0" applyNumberFormat="1" applyFont="1" applyFill="1" applyBorder="1" applyAlignment="1" applyProtection="1">
      <alignment horizontal="center"/>
    </xf>
    <xf numFmtId="4" fontId="25" fillId="17" borderId="16" xfId="0" applyNumberFormat="1" applyFont="1" applyFill="1" applyBorder="1" applyAlignment="1" applyProtection="1">
      <alignment horizontal="center"/>
    </xf>
    <xf numFmtId="164" fontId="0" fillId="0" borderId="0" xfId="0" applyNumberFormat="1" applyProtection="1">
      <protection locked="0"/>
    </xf>
    <xf numFmtId="182" fontId="25" fillId="17" borderId="74" xfId="44" applyFont="1" applyFill="1" applyBorder="1" applyProtection="1"/>
    <xf numFmtId="0" fontId="73" fillId="0" borderId="0" xfId="0" applyFont="1" applyBorder="1" applyProtection="1"/>
    <xf numFmtId="0" fontId="74" fillId="0" borderId="0" xfId="0" applyFont="1" applyBorder="1" applyProtection="1"/>
    <xf numFmtId="0" fontId="74" fillId="0" borderId="25" xfId="0" applyFont="1" applyBorder="1" applyProtection="1"/>
    <xf numFmtId="0" fontId="25" fillId="17" borderId="25" xfId="43" applyFont="1" applyFill="1" applyBorder="1" applyAlignment="1" applyProtection="1">
      <alignment horizontal="center"/>
    </xf>
    <xf numFmtId="0" fontId="25" fillId="17" borderId="10" xfId="43" applyFont="1" applyFill="1" applyBorder="1" applyAlignment="1" applyProtection="1">
      <alignment horizontal="center"/>
    </xf>
    <xf numFmtId="4" fontId="25" fillId="17" borderId="10" xfId="44" applyNumberFormat="1" applyFont="1" applyFill="1" applyBorder="1" applyAlignment="1" applyProtection="1">
      <alignment horizontal="right"/>
    </xf>
    <xf numFmtId="4" fontId="73" fillId="0" borderId="10" xfId="0" applyNumberFormat="1" applyFont="1" applyBorder="1" applyProtection="1"/>
    <xf numFmtId="4" fontId="74" fillId="0" borderId="10" xfId="0" applyNumberFormat="1" applyFont="1" applyBorder="1" applyProtection="1"/>
    <xf numFmtId="4" fontId="74" fillId="0" borderId="31" xfId="0" applyNumberFormat="1" applyFont="1" applyBorder="1" applyProtection="1"/>
    <xf numFmtId="0" fontId="25" fillId="17" borderId="18" xfId="43" applyFont="1" applyFill="1" applyBorder="1" applyAlignment="1" applyProtection="1">
      <alignment horizontal="center"/>
    </xf>
    <xf numFmtId="4" fontId="25" fillId="17" borderId="18" xfId="44" applyNumberFormat="1" applyFont="1" applyFill="1" applyBorder="1" applyAlignment="1" applyProtection="1">
      <alignment horizontal="right"/>
    </xf>
    <xf numFmtId="4" fontId="73" fillId="0" borderId="18" xfId="0" applyNumberFormat="1" applyFont="1" applyBorder="1" applyProtection="1"/>
    <xf numFmtId="4" fontId="74" fillId="0" borderId="18" xfId="0" applyNumberFormat="1" applyFont="1" applyBorder="1" applyProtection="1"/>
    <xf numFmtId="0" fontId="25" fillId="17" borderId="82" xfId="43" applyFont="1" applyFill="1" applyBorder="1" applyAlignment="1" applyProtection="1">
      <alignment horizontal="center"/>
    </xf>
    <xf numFmtId="4" fontId="25" fillId="17" borderId="82" xfId="44" applyNumberFormat="1" applyFont="1" applyFill="1" applyBorder="1" applyAlignment="1" applyProtection="1">
      <alignment horizontal="right"/>
    </xf>
    <xf numFmtId="4" fontId="73" fillId="0" borderId="82" xfId="0" applyNumberFormat="1" applyFont="1" applyBorder="1" applyProtection="1"/>
    <xf numFmtId="4" fontId="74" fillId="0" borderId="82" xfId="0" applyNumberFormat="1" applyFont="1" applyBorder="1" applyProtection="1"/>
    <xf numFmtId="0" fontId="25" fillId="17" borderId="25" xfId="43" applyFont="1" applyFill="1" applyBorder="1" applyAlignment="1" applyProtection="1">
      <alignment horizontal="center" vertical="center"/>
    </xf>
    <xf numFmtId="0" fontId="25" fillId="17" borderId="31" xfId="43" applyFont="1" applyFill="1" applyBorder="1" applyProtection="1"/>
    <xf numFmtId="0" fontId="25" fillId="17" borderId="25" xfId="43" applyFont="1" applyFill="1" applyBorder="1" applyProtection="1"/>
    <xf numFmtId="0" fontId="25" fillId="17" borderId="0" xfId="43" applyFont="1" applyFill="1" applyBorder="1" applyProtection="1"/>
    <xf numFmtId="182" fontId="79" fillId="17" borderId="18" xfId="44" applyFont="1" applyFill="1" applyBorder="1" applyProtection="1"/>
    <xf numFmtId="182" fontId="79" fillId="17" borderId="19" xfId="44" applyFont="1" applyFill="1" applyBorder="1" applyAlignment="1" applyProtection="1">
      <alignment horizontal="right"/>
    </xf>
    <xf numFmtId="172" fontId="2" fillId="28" borderId="0" xfId="4" applyNumberFormat="1" applyFont="1" applyFill="1" applyAlignment="1" applyProtection="1">
      <alignment vertical="top" wrapText="1"/>
    </xf>
    <xf numFmtId="172" fontId="2" fillId="22" borderId="0" xfId="4" applyNumberFormat="1" applyFont="1" applyFill="1" applyAlignment="1" applyProtection="1">
      <alignment vertical="top" wrapText="1"/>
    </xf>
    <xf numFmtId="0" fontId="22" fillId="22" borderId="10" xfId="0" applyFont="1" applyFill="1" applyBorder="1" applyAlignment="1" applyProtection="1">
      <alignment horizontal="center" vertical="top" wrapText="1"/>
    </xf>
    <xf numFmtId="0" fontId="2" fillId="0" borderId="0" xfId="0" applyFont="1" applyAlignment="1" applyProtection="1">
      <alignment vertical="top" wrapText="1"/>
      <protection locked="0"/>
    </xf>
    <xf numFmtId="0" fontId="61" fillId="0" borderId="0" xfId="0" applyFont="1" applyAlignment="1" applyProtection="1">
      <alignment vertical="top" wrapText="1"/>
      <protection locked="0"/>
    </xf>
    <xf numFmtId="0" fontId="23" fillId="0" borderId="0" xfId="0" applyFont="1" applyAlignment="1" applyProtection="1">
      <alignment vertical="top" wrapText="1"/>
      <protection locked="0"/>
    </xf>
    <xf numFmtId="0" fontId="23" fillId="0" borderId="10" xfId="0" applyFont="1" applyFill="1" applyBorder="1" applyAlignment="1" applyProtection="1">
      <alignment vertical="top" wrapText="1"/>
      <protection locked="0"/>
    </xf>
    <xf numFmtId="0" fontId="23" fillId="0" borderId="0" xfId="0" applyFont="1" applyFill="1" applyAlignment="1" applyProtection="1">
      <alignment vertical="top" wrapText="1"/>
      <protection locked="0"/>
    </xf>
    <xf numFmtId="10" fontId="23" fillId="17" borderId="88" xfId="19" applyNumberFormat="1" applyFont="1" applyFill="1" applyBorder="1" applyAlignment="1" applyProtection="1">
      <protection locked="0"/>
    </xf>
    <xf numFmtId="165" fontId="23" fillId="0" borderId="88" xfId="19" applyNumberFormat="1" applyFont="1" applyFill="1" applyBorder="1" applyAlignment="1" applyProtection="1">
      <protection locked="0"/>
    </xf>
    <xf numFmtId="10" fontId="23" fillId="0" borderId="88" xfId="19" applyNumberFormat="1" applyFont="1" applyFill="1" applyBorder="1" applyAlignment="1" applyProtection="1">
      <protection locked="0"/>
    </xf>
    <xf numFmtId="9" fontId="23" fillId="0" borderId="10" xfId="0" applyNumberFormat="1" applyFont="1" applyBorder="1" applyAlignment="1" applyProtection="1">
      <alignment vertical="top" wrapText="1"/>
      <protection locked="0"/>
    </xf>
    <xf numFmtId="0" fontId="23" fillId="8" borderId="19" xfId="0" applyFont="1" applyFill="1" applyBorder="1" applyAlignment="1" applyProtection="1">
      <protection locked="0"/>
    </xf>
    <xf numFmtId="10" fontId="23" fillId="17" borderId="10" xfId="19" applyNumberFormat="1" applyFont="1" applyFill="1" applyBorder="1" applyAlignment="1" applyProtection="1"/>
    <xf numFmtId="0" fontId="33" fillId="0" borderId="0" xfId="15" applyFont="1" applyProtection="1"/>
    <xf numFmtId="3" fontId="29" fillId="0" borderId="0" xfId="0" applyNumberFormat="1" applyFont="1" applyBorder="1" applyAlignment="1" applyProtection="1"/>
    <xf numFmtId="0" fontId="34" fillId="0" borderId="0" xfId="15" applyFont="1" applyFill="1" applyProtection="1"/>
    <xf numFmtId="0" fontId="34" fillId="0" borderId="10" xfId="15" applyFont="1" applyFill="1" applyBorder="1" applyAlignment="1" applyProtection="1">
      <alignment horizontal="center"/>
    </xf>
    <xf numFmtId="0" fontId="34" fillId="8" borderId="10" xfId="15" applyFont="1" applyFill="1" applyBorder="1" applyAlignment="1" applyProtection="1">
      <alignment horizontal="center"/>
    </xf>
    <xf numFmtId="0" fontId="34" fillId="8" borderId="10" xfId="15" applyFont="1" applyFill="1" applyBorder="1" applyAlignment="1" applyProtection="1">
      <alignment horizontal="center" wrapText="1"/>
    </xf>
    <xf numFmtId="0" fontId="33" fillId="0" borderId="10" xfId="15" applyFont="1" applyFill="1" applyBorder="1" applyProtection="1"/>
    <xf numFmtId="0" fontId="33" fillId="8" borderId="10" xfId="15" applyFont="1" applyFill="1" applyBorder="1" applyAlignment="1" applyProtection="1">
      <alignment wrapText="1"/>
    </xf>
    <xf numFmtId="0" fontId="33" fillId="8" borderId="10" xfId="15" applyFont="1" applyFill="1" applyBorder="1" applyProtection="1"/>
    <xf numFmtId="4" fontId="33" fillId="8" borderId="10" xfId="15" applyNumberFormat="1" applyFont="1" applyFill="1" applyBorder="1" applyProtection="1"/>
    <xf numFmtId="4" fontId="33" fillId="17" borderId="10" xfId="15" applyNumberFormat="1" applyFont="1" applyFill="1" applyBorder="1" applyProtection="1"/>
    <xf numFmtId="10" fontId="34" fillId="17" borderId="10" xfId="23" applyNumberFormat="1" applyFont="1" applyFill="1" applyBorder="1" applyProtection="1"/>
    <xf numFmtId="0" fontId="25" fillId="0" borderId="0" xfId="15" applyFont="1" applyFill="1" applyProtection="1"/>
    <xf numFmtId="0" fontId="23" fillId="8" borderId="0" xfId="15" applyFont="1" applyFill="1" applyProtection="1"/>
    <xf numFmtId="0" fontId="23" fillId="8" borderId="10" xfId="15" applyFont="1" applyFill="1" applyBorder="1" applyProtection="1"/>
    <xf numFmtId="0" fontId="25" fillId="8" borderId="10" xfId="15" applyFont="1" applyFill="1" applyBorder="1" applyAlignment="1" applyProtection="1">
      <alignment horizontal="center" vertical="center" wrapText="1"/>
    </xf>
    <xf numFmtId="10" fontId="23" fillId="8" borderId="10" xfId="21" applyNumberFormat="1" applyFont="1" applyFill="1" applyBorder="1" applyProtection="1"/>
    <xf numFmtId="4" fontId="23" fillId="8" borderId="10" xfId="21" applyNumberFormat="1" applyFont="1" applyFill="1" applyBorder="1" applyProtection="1"/>
    <xf numFmtId="0" fontId="25" fillId="8" borderId="0" xfId="15" applyFont="1" applyFill="1" applyProtection="1"/>
    <xf numFmtId="0" fontId="23" fillId="8" borderId="10" xfId="15" applyFont="1" applyFill="1" applyBorder="1" applyAlignment="1" applyProtection="1">
      <alignment horizontal="center" vertical="center" wrapText="1"/>
    </xf>
    <xf numFmtId="0" fontId="23" fillId="8" borderId="10" xfId="15" applyFont="1" applyFill="1" applyBorder="1" applyAlignment="1" applyProtection="1">
      <alignment horizontal="center" vertical="center"/>
    </xf>
    <xf numFmtId="4" fontId="23" fillId="17" borderId="10" xfId="15" applyNumberFormat="1" applyFont="1" applyFill="1" applyBorder="1" applyProtection="1"/>
    <xf numFmtId="10" fontId="23" fillId="17" borderId="10" xfId="22" applyNumberFormat="1" applyFont="1" applyFill="1" applyBorder="1" applyAlignment="1" applyProtection="1">
      <alignment horizontal="center"/>
    </xf>
    <xf numFmtId="10" fontId="23" fillId="17" borderId="10" xfId="15" applyNumberFormat="1" applyFont="1" applyFill="1" applyBorder="1" applyAlignment="1" applyProtection="1">
      <alignment horizontal="center"/>
    </xf>
    <xf numFmtId="4" fontId="23" fillId="17" borderId="10" xfId="2" applyNumberFormat="1" applyFont="1" applyFill="1" applyBorder="1" applyAlignment="1" applyProtection="1"/>
    <xf numFmtId="10" fontId="23" fillId="17" borderId="10" xfId="21" applyNumberFormat="1" applyFont="1" applyFill="1" applyBorder="1" applyProtection="1"/>
    <xf numFmtId="4" fontId="23" fillId="8" borderId="10" xfId="2" applyNumberFormat="1" applyFont="1" applyFill="1" applyBorder="1" applyAlignment="1" applyProtection="1"/>
    <xf numFmtId="4" fontId="23" fillId="8" borderId="0" xfId="15" applyNumberFormat="1" applyFont="1" applyFill="1" applyBorder="1" applyProtection="1"/>
    <xf numFmtId="10" fontId="23" fillId="8" borderId="0" xfId="22" applyNumberFormat="1" applyFont="1" applyFill="1" applyBorder="1" applyAlignment="1" applyProtection="1">
      <alignment horizontal="center"/>
    </xf>
    <xf numFmtId="10" fontId="23" fillId="8" borderId="0" xfId="15" applyNumberFormat="1" applyFont="1" applyFill="1" applyBorder="1" applyAlignment="1" applyProtection="1">
      <alignment horizontal="center"/>
    </xf>
    <xf numFmtId="4" fontId="23" fillId="8" borderId="0" xfId="2" applyNumberFormat="1" applyFont="1" applyFill="1" applyBorder="1" applyAlignment="1" applyProtection="1"/>
    <xf numFmtId="10" fontId="23" fillId="8" borderId="0" xfId="21" applyNumberFormat="1" applyFont="1" applyFill="1" applyBorder="1" applyProtection="1"/>
    <xf numFmtId="43" fontId="23" fillId="26" borderId="0" xfId="4" applyFont="1" applyFill="1" applyProtection="1"/>
    <xf numFmtId="0" fontId="23" fillId="26" borderId="0" xfId="15" applyFont="1" applyFill="1" applyProtection="1"/>
    <xf numFmtId="10" fontId="38" fillId="26" borderId="0" xfId="21" applyNumberFormat="1" applyFont="1" applyFill="1" applyProtection="1"/>
    <xf numFmtId="4" fontId="38" fillId="26" borderId="0" xfId="15" applyNumberFormat="1" applyFont="1" applyFill="1" applyProtection="1"/>
    <xf numFmtId="0" fontId="23" fillId="17" borderId="10" xfId="15" applyFont="1" applyFill="1" applyBorder="1" applyAlignment="1" applyProtection="1">
      <alignment horizontal="center" vertical="center" wrapText="1"/>
    </xf>
    <xf numFmtId="0" fontId="23" fillId="17" borderId="10" xfId="15" applyFont="1" applyFill="1" applyBorder="1" applyAlignment="1" applyProtection="1">
      <alignment horizontal="center" vertical="center"/>
    </xf>
    <xf numFmtId="0" fontId="23" fillId="17" borderId="22" xfId="15" applyFont="1" applyFill="1" applyBorder="1" applyAlignment="1" applyProtection="1">
      <alignment horizontal="center" vertical="center"/>
    </xf>
    <xf numFmtId="4" fontId="23" fillId="17" borderId="18" xfId="2" applyNumberFormat="1" applyFont="1" applyFill="1" applyBorder="1" applyAlignment="1" applyProtection="1"/>
    <xf numFmtId="10" fontId="23" fillId="17" borderId="24" xfId="21" applyNumberFormat="1" applyFont="1" applyFill="1" applyBorder="1" applyProtection="1"/>
    <xf numFmtId="4" fontId="23" fillId="17" borderId="19" xfId="2" applyNumberFormat="1" applyFont="1" applyFill="1" applyBorder="1" applyAlignment="1" applyProtection="1"/>
    <xf numFmtId="10" fontId="23" fillId="17" borderId="0" xfId="21" applyNumberFormat="1" applyFont="1" applyFill="1" applyAlignment="1" applyProtection="1">
      <alignment vertical="top" wrapText="1"/>
    </xf>
    <xf numFmtId="168" fontId="23" fillId="17" borderId="0" xfId="21" applyNumberFormat="1" applyFont="1" applyFill="1" applyAlignment="1" applyProtection="1">
      <alignment vertical="top" wrapText="1"/>
    </xf>
    <xf numFmtId="0" fontId="23" fillId="17" borderId="0" xfId="0" applyFont="1" applyFill="1" applyBorder="1" applyAlignment="1" applyProtection="1">
      <alignment vertical="top" wrapText="1"/>
    </xf>
    <xf numFmtId="0" fontId="25" fillId="17" borderId="0" xfId="15" applyFont="1" applyFill="1" applyBorder="1" applyProtection="1"/>
    <xf numFmtId="0" fontId="23" fillId="17" borderId="0" xfId="15" applyFont="1" applyFill="1" applyBorder="1" applyProtection="1"/>
    <xf numFmtId="0" fontId="23" fillId="17" borderId="0" xfId="0" applyFont="1" applyFill="1" applyProtection="1"/>
    <xf numFmtId="0" fontId="23" fillId="17" borderId="0" xfId="0" applyFont="1" applyFill="1" applyBorder="1" applyProtection="1"/>
    <xf numFmtId="0" fontId="23" fillId="17" borderId="22" xfId="15" applyFont="1" applyFill="1" applyBorder="1" applyAlignment="1" applyProtection="1">
      <alignment horizontal="center" vertical="center" wrapText="1"/>
    </xf>
    <xf numFmtId="0" fontId="23" fillId="17" borderId="0" xfId="15" applyFont="1" applyFill="1" applyBorder="1" applyAlignment="1" applyProtection="1">
      <alignment horizontal="center" vertical="center" wrapText="1"/>
    </xf>
    <xf numFmtId="4" fontId="23" fillId="17" borderId="10" xfId="15" applyNumberFormat="1" applyFont="1" applyFill="1" applyBorder="1" applyAlignment="1" applyProtection="1">
      <alignment horizontal="right" vertical="center" wrapText="1"/>
    </xf>
    <xf numFmtId="10" fontId="23" fillId="17" borderId="10" xfId="21" applyNumberFormat="1" applyFont="1" applyFill="1" applyBorder="1" applyAlignment="1" applyProtection="1">
      <alignment horizontal="center" vertical="center" wrapText="1"/>
    </xf>
    <xf numFmtId="10" fontId="23" fillId="17" borderId="18" xfId="21" applyNumberFormat="1" applyFont="1" applyFill="1" applyBorder="1" applyAlignment="1" applyProtection="1">
      <alignment horizontal="center" vertical="center" wrapText="1"/>
    </xf>
    <xf numFmtId="4" fontId="23" fillId="17" borderId="18" xfId="15" applyNumberFormat="1" applyFont="1" applyFill="1" applyBorder="1" applyAlignment="1" applyProtection="1">
      <alignment horizontal="center" vertical="center" wrapText="1"/>
    </xf>
    <xf numFmtId="10" fontId="23" fillId="17" borderId="24" xfId="21" applyNumberFormat="1" applyFont="1" applyFill="1" applyBorder="1" applyAlignment="1" applyProtection="1">
      <alignment horizontal="center" vertical="center" wrapText="1"/>
    </xf>
    <xf numFmtId="168" fontId="23" fillId="17" borderId="0" xfId="21" applyNumberFormat="1" applyFont="1" applyFill="1" applyBorder="1" applyAlignment="1" applyProtection="1">
      <alignment horizontal="center" vertical="center" wrapText="1"/>
    </xf>
    <xf numFmtId="4" fontId="23" fillId="17" borderId="18" xfId="21" applyNumberFormat="1" applyFont="1" applyFill="1" applyBorder="1" applyAlignment="1" applyProtection="1">
      <alignment horizontal="center" vertical="center" wrapText="1"/>
    </xf>
    <xf numFmtId="4" fontId="23" fillId="17" borderId="19" xfId="21" applyNumberFormat="1" applyFont="1" applyFill="1" applyBorder="1" applyAlignment="1" applyProtection="1">
      <alignment horizontal="center" vertical="center" wrapText="1"/>
    </xf>
    <xf numFmtId="4" fontId="23" fillId="17" borderId="10" xfId="21" applyNumberFormat="1" applyFont="1" applyFill="1" applyBorder="1" applyAlignment="1" applyProtection="1">
      <alignment horizontal="center" vertical="center" wrapText="1"/>
    </xf>
    <xf numFmtId="169" fontId="23" fillId="0" borderId="0" xfId="0" applyNumberFormat="1" applyFont="1" applyAlignment="1" applyProtection="1">
      <alignment vertical="top" wrapText="1"/>
    </xf>
    <xf numFmtId="0" fontId="6" fillId="17" borderId="0" xfId="6" applyFill="1" applyProtection="1">
      <alignment vertical="top"/>
    </xf>
    <xf numFmtId="0" fontId="7" fillId="17" borderId="0" xfId="7" applyFill="1" applyProtection="1">
      <alignment vertical="top"/>
    </xf>
    <xf numFmtId="0" fontId="26" fillId="0" borderId="7" xfId="0" applyFont="1" applyFill="1" applyBorder="1" applyAlignment="1" applyProtection="1">
      <alignment vertical="top" wrapText="1"/>
    </xf>
    <xf numFmtId="0" fontId="26" fillId="0" borderId="9" xfId="0" applyFont="1" applyBorder="1" applyAlignment="1" applyProtection="1">
      <alignment vertical="top" wrapText="1"/>
    </xf>
    <xf numFmtId="0" fontId="26" fillId="0" borderId="7" xfId="0" applyFont="1" applyBorder="1" applyAlignment="1" applyProtection="1">
      <alignment vertical="top" wrapText="1"/>
    </xf>
    <xf numFmtId="0" fontId="25" fillId="0" borderId="9" xfId="0" applyFont="1" applyBorder="1" applyAlignment="1" applyProtection="1">
      <alignment wrapText="1"/>
    </xf>
    <xf numFmtId="0" fontId="25" fillId="0" borderId="7" xfId="0" applyFont="1" applyBorder="1" applyAlignment="1" applyProtection="1">
      <alignment horizontal="center"/>
    </xf>
    <xf numFmtId="0" fontId="25" fillId="0" borderId="11" xfId="0" applyFont="1" applyBorder="1" applyAlignment="1" applyProtection="1">
      <alignment horizontal="center"/>
    </xf>
    <xf numFmtId="166" fontId="23" fillId="23" borderId="15" xfId="0" applyNumberFormat="1" applyFont="1" applyFill="1" applyBorder="1" applyAlignment="1" applyProtection="1">
      <alignment horizontal="center"/>
    </xf>
    <xf numFmtId="166" fontId="23" fillId="0" borderId="15" xfId="0" applyNumberFormat="1" applyFont="1" applyFill="1" applyBorder="1" applyAlignment="1" applyProtection="1">
      <alignment horizontal="center"/>
    </xf>
    <xf numFmtId="165" fontId="23" fillId="0" borderId="15" xfId="0" applyNumberFormat="1" applyFont="1" applyBorder="1" applyAlignment="1" applyProtection="1">
      <alignment horizontal="center"/>
    </xf>
    <xf numFmtId="165" fontId="23" fillId="8" borderId="15" xfId="0" applyNumberFormat="1" applyFont="1" applyFill="1" applyBorder="1" applyAlignment="1" applyProtection="1">
      <alignment horizontal="center"/>
    </xf>
    <xf numFmtId="4" fontId="26" fillId="0" borderId="0" xfId="0" applyNumberFormat="1" applyFont="1" applyAlignment="1" applyProtection="1">
      <alignment vertical="top" wrapText="1"/>
    </xf>
    <xf numFmtId="0" fontId="25" fillId="0" borderId="89" xfId="0" applyFont="1" applyBorder="1" applyAlignment="1" applyProtection="1">
      <alignment wrapText="1"/>
    </xf>
    <xf numFmtId="0" fontId="25" fillId="0" borderId="90" xfId="0" applyFont="1" applyBorder="1" applyAlignment="1" applyProtection="1">
      <alignment horizontal="center"/>
    </xf>
    <xf numFmtId="0" fontId="25" fillId="0" borderId="10" xfId="0" applyFont="1" applyBorder="1" applyAlignment="1" applyProtection="1">
      <alignment vertical="top" wrapText="1"/>
    </xf>
    <xf numFmtId="0" fontId="23" fillId="0" borderId="10" xfId="0" applyFont="1" applyBorder="1" applyAlignment="1" applyProtection="1">
      <alignment vertical="top" wrapText="1"/>
    </xf>
    <xf numFmtId="173" fontId="23" fillId="0" borderId="10" xfId="0" applyNumberFormat="1" applyFont="1" applyBorder="1" applyAlignment="1" applyProtection="1">
      <alignment vertical="top" wrapText="1"/>
    </xf>
    <xf numFmtId="10" fontId="23" fillId="0" borderId="10" xfId="0" applyNumberFormat="1" applyFont="1" applyBorder="1" applyAlignment="1" applyProtection="1">
      <alignment vertical="top" wrapText="1"/>
    </xf>
    <xf numFmtId="0" fontId="22" fillId="22" borderId="10" xfId="0" applyFont="1" applyFill="1" applyBorder="1" applyAlignment="1" applyProtection="1">
      <alignment horizontal="center" vertical="top" wrapText="1"/>
    </xf>
    <xf numFmtId="0" fontId="63" fillId="0" borderId="82" xfId="0" applyFont="1" applyBorder="1" applyAlignment="1" applyProtection="1">
      <alignment horizontal="left" vertical="top" wrapText="1"/>
    </xf>
    <xf numFmtId="0" fontId="63" fillId="0" borderId="0" xfId="0" applyFont="1" applyAlignment="1" applyProtection="1">
      <alignment horizontal="left" vertical="top" wrapText="1"/>
    </xf>
    <xf numFmtId="0" fontId="22" fillId="22" borderId="18" xfId="0" applyFont="1" applyFill="1" applyBorder="1" applyAlignment="1" applyProtection="1">
      <alignment horizontal="center" vertical="top" wrapText="1"/>
    </xf>
    <xf numFmtId="0" fontId="22" fillId="22" borderId="26" xfId="0" applyFont="1" applyFill="1" applyBorder="1" applyAlignment="1" applyProtection="1">
      <alignment horizontal="center" vertical="top" wrapText="1"/>
    </xf>
    <xf numFmtId="0" fontId="22" fillId="22" borderId="19" xfId="0" applyFont="1" applyFill="1" applyBorder="1" applyAlignment="1" applyProtection="1">
      <alignment horizontal="center" vertical="top" wrapText="1"/>
    </xf>
    <xf numFmtId="0" fontId="48" fillId="22" borderId="10" xfId="0" applyFont="1" applyFill="1" applyBorder="1" applyAlignment="1" applyProtection="1">
      <alignment horizontal="center"/>
    </xf>
    <xf numFmtId="3" fontId="21" fillId="27" borderId="18" xfId="2" applyNumberFormat="1" applyFont="1" applyFill="1" applyBorder="1" applyAlignment="1" applyProtection="1">
      <alignment horizontal="center"/>
    </xf>
    <xf numFmtId="3" fontId="21" fillId="27" borderId="26" xfId="2" applyNumberFormat="1" applyFont="1" applyFill="1" applyBorder="1" applyAlignment="1" applyProtection="1">
      <alignment horizontal="center"/>
    </xf>
    <xf numFmtId="3" fontId="21" fillId="27" borderId="19" xfId="2" applyNumberFormat="1" applyFont="1" applyFill="1" applyBorder="1" applyAlignment="1" applyProtection="1">
      <alignment horizontal="center"/>
    </xf>
    <xf numFmtId="0" fontId="63" fillId="0" borderId="52" xfId="0" applyFont="1" applyBorder="1" applyAlignment="1" applyProtection="1">
      <alignment horizontal="left" vertical="top" wrapText="1"/>
    </xf>
    <xf numFmtId="0" fontId="63" fillId="0" borderId="74" xfId="0" applyFont="1" applyBorder="1" applyAlignment="1" applyProtection="1">
      <alignment horizontal="left" vertical="top" wrapText="1"/>
    </xf>
    <xf numFmtId="0" fontId="22" fillId="15" borderId="10" xfId="0" applyFont="1" applyFill="1" applyBorder="1" applyAlignment="1" applyProtection="1">
      <alignment horizontal="center" vertical="top" wrapText="1"/>
    </xf>
    <xf numFmtId="0" fontId="63" fillId="0" borderId="60" xfId="0" applyFont="1" applyBorder="1" applyAlignment="1" applyProtection="1">
      <alignment horizontal="left" vertical="top" wrapText="1"/>
    </xf>
    <xf numFmtId="3" fontId="21" fillId="27" borderId="10" xfId="0" applyNumberFormat="1" applyFont="1" applyFill="1" applyBorder="1" applyAlignment="1" applyProtection="1">
      <alignment horizontal="center" vertical="center"/>
    </xf>
    <xf numFmtId="3" fontId="21" fillId="27" borderId="18" xfId="0" applyNumberFormat="1" applyFont="1" applyFill="1" applyBorder="1" applyAlignment="1" applyProtection="1">
      <alignment horizontal="center" vertical="center"/>
      <protection locked="0"/>
    </xf>
    <xf numFmtId="3" fontId="21" fillId="27" borderId="26" xfId="0" applyNumberFormat="1" applyFont="1" applyFill="1" applyBorder="1" applyAlignment="1" applyProtection="1">
      <alignment horizontal="center" vertical="center"/>
      <protection locked="0"/>
    </xf>
    <xf numFmtId="3" fontId="21" fillId="27" borderId="19" xfId="0" applyNumberFormat="1" applyFont="1" applyFill="1" applyBorder="1" applyAlignment="1" applyProtection="1">
      <alignment horizontal="center" vertical="center"/>
      <protection locked="0"/>
    </xf>
    <xf numFmtId="0" fontId="62" fillId="0" borderId="0" xfId="19" applyFont="1" applyAlignment="1" applyProtection="1">
      <alignment horizontal="left" vertical="top" wrapText="1"/>
    </xf>
    <xf numFmtId="0" fontId="21" fillId="10" borderId="10" xfId="19" applyNumberFormat="1" applyFont="1" applyFill="1" applyBorder="1" applyAlignment="1" applyProtection="1">
      <alignment horizontal="center"/>
      <protection locked="0"/>
    </xf>
    <xf numFmtId="0" fontId="63" fillId="0" borderId="8" xfId="0" applyFont="1" applyBorder="1" applyAlignment="1" applyProtection="1">
      <alignment horizontal="left" vertical="top" wrapText="1"/>
    </xf>
    <xf numFmtId="3" fontId="21" fillId="11" borderId="25" xfId="0" applyNumberFormat="1" applyFont="1" applyFill="1" applyBorder="1" applyAlignment="1" applyProtection="1">
      <alignment horizontal="center"/>
      <protection locked="0"/>
    </xf>
    <xf numFmtId="3" fontId="21" fillId="11" borderId="75" xfId="0" applyNumberFormat="1" applyFont="1" applyFill="1" applyBorder="1" applyAlignment="1" applyProtection="1">
      <alignment horizontal="center"/>
      <protection locked="0"/>
    </xf>
    <xf numFmtId="3" fontId="21" fillId="11" borderId="26" xfId="0" applyNumberFormat="1" applyFont="1" applyFill="1" applyBorder="1" applyAlignment="1" applyProtection="1">
      <alignment horizontal="center"/>
      <protection locked="0"/>
    </xf>
    <xf numFmtId="3" fontId="21" fillId="11" borderId="19" xfId="0" applyNumberFormat="1" applyFont="1" applyFill="1" applyBorder="1" applyAlignment="1" applyProtection="1">
      <alignment horizontal="center"/>
      <protection locked="0"/>
    </xf>
    <xf numFmtId="3" fontId="21" fillId="27" borderId="26" xfId="0" applyNumberFormat="1" applyFont="1" applyFill="1" applyBorder="1" applyAlignment="1" applyProtection="1">
      <alignment horizontal="center" wrapText="1"/>
      <protection locked="0"/>
    </xf>
    <xf numFmtId="3" fontId="21" fillId="27" borderId="19" xfId="0" applyNumberFormat="1" applyFont="1" applyFill="1" applyBorder="1" applyAlignment="1" applyProtection="1">
      <alignment horizontal="center" wrapText="1"/>
      <protection locked="0"/>
    </xf>
    <xf numFmtId="0" fontId="21" fillId="20" borderId="10" xfId="19" applyNumberFormat="1" applyFont="1" applyFill="1" applyBorder="1" applyAlignment="1" applyProtection="1">
      <alignment horizontal="center"/>
    </xf>
    <xf numFmtId="0" fontId="45" fillId="0" borderId="0" xfId="0" applyFont="1" applyFill="1" applyBorder="1" applyAlignment="1" applyProtection="1">
      <alignment horizontal="left" vertical="center" wrapText="1"/>
    </xf>
    <xf numFmtId="0" fontId="58" fillId="0" borderId="10" xfId="0" applyFont="1" applyFill="1" applyBorder="1" applyAlignment="1" applyProtection="1">
      <alignment horizontal="center" vertical="center" wrapText="1"/>
    </xf>
    <xf numFmtId="0" fontId="57" fillId="0" borderId="10" xfId="0" applyFont="1" applyFill="1" applyBorder="1" applyAlignment="1" applyProtection="1">
      <alignment horizontal="center" wrapText="1"/>
    </xf>
    <xf numFmtId="0" fontId="56" fillId="8" borderId="10" xfId="0" applyFont="1" applyFill="1" applyBorder="1" applyAlignment="1" applyProtection="1">
      <alignment horizontal="center" vertical="center" wrapText="1"/>
    </xf>
    <xf numFmtId="0" fontId="56" fillId="8" borderId="78" xfId="0" applyFont="1" applyFill="1" applyBorder="1" applyAlignment="1" applyProtection="1">
      <alignment horizontal="center" vertical="center" wrapText="1"/>
    </xf>
    <xf numFmtId="0" fontId="56" fillId="8" borderId="33" xfId="0" applyFont="1" applyFill="1" applyBorder="1" applyAlignment="1" applyProtection="1">
      <alignment horizontal="center" vertical="center" wrapText="1"/>
    </xf>
    <xf numFmtId="0" fontId="22" fillId="8" borderId="80" xfId="0" applyFont="1" applyFill="1" applyBorder="1" applyAlignment="1" applyProtection="1">
      <alignment horizontal="center" vertical="center"/>
    </xf>
    <xf numFmtId="0" fontId="22" fillId="8" borderId="26" xfId="0" applyFont="1" applyFill="1" applyBorder="1" applyAlignment="1" applyProtection="1">
      <alignment horizontal="center" vertical="center"/>
    </xf>
    <xf numFmtId="0" fontId="61" fillId="8" borderId="0" xfId="0" applyFont="1" applyFill="1" applyBorder="1" applyAlignment="1" applyProtection="1">
      <alignment horizontal="center"/>
    </xf>
    <xf numFmtId="0" fontId="56" fillId="0" borderId="76" xfId="0" applyFont="1" applyBorder="1" applyAlignment="1" applyProtection="1">
      <alignment horizontal="center" vertical="center" wrapText="1"/>
    </xf>
    <xf numFmtId="0" fontId="56" fillId="0" borderId="61" xfId="0" applyFont="1" applyBorder="1" applyAlignment="1" applyProtection="1">
      <alignment horizontal="center" vertical="center" wrapText="1"/>
    </xf>
    <xf numFmtId="0" fontId="56" fillId="8" borderId="77" xfId="0" applyFont="1" applyFill="1" applyBorder="1" applyAlignment="1" applyProtection="1">
      <alignment horizontal="center" vertical="center" wrapText="1"/>
    </xf>
    <xf numFmtId="0" fontId="56" fillId="8" borderId="45" xfId="0" applyFont="1" applyFill="1" applyBorder="1" applyAlignment="1" applyProtection="1">
      <alignment horizontal="center" vertical="center" wrapText="1"/>
    </xf>
    <xf numFmtId="0" fontId="22" fillId="0" borderId="79" xfId="0" applyFont="1" applyFill="1" applyBorder="1" applyAlignment="1" applyProtection="1">
      <alignment horizontal="center" vertical="center" wrapText="1"/>
    </xf>
    <xf numFmtId="0" fontId="22" fillId="0" borderId="29" xfId="0" applyFont="1" applyFill="1" applyBorder="1" applyAlignment="1" applyProtection="1">
      <alignment horizontal="center" vertical="center" wrapText="1"/>
    </xf>
    <xf numFmtId="0" fontId="22" fillId="8" borderId="79" xfId="0" applyFont="1" applyFill="1" applyBorder="1" applyAlignment="1" applyProtection="1">
      <alignment horizontal="center" vertical="center" wrapText="1"/>
    </xf>
    <xf numFmtId="0" fontId="22" fillId="8" borderId="29" xfId="0" applyFont="1" applyFill="1" applyBorder="1" applyAlignment="1" applyProtection="1">
      <alignment horizontal="center" vertical="center" wrapText="1"/>
    </xf>
    <xf numFmtId="0" fontId="16" fillId="0" borderId="77" xfId="0" applyFont="1" applyBorder="1" applyAlignment="1" applyProtection="1">
      <alignment horizontal="center" vertical="center" wrapText="1"/>
    </xf>
    <xf numFmtId="0" fontId="16" fillId="0" borderId="62" xfId="0" applyFont="1" applyBorder="1" applyAlignment="1" applyProtection="1">
      <alignment horizontal="center" vertical="center" wrapText="1"/>
    </xf>
    <xf numFmtId="0" fontId="44" fillId="8" borderId="0" xfId="0" applyFont="1" applyFill="1" applyBorder="1" applyAlignment="1" applyProtection="1">
      <alignment wrapText="1"/>
    </xf>
    <xf numFmtId="0" fontId="47" fillId="0" borderId="0" xfId="0" applyFont="1" applyAlignment="1" applyProtection="1">
      <alignment wrapText="1"/>
    </xf>
    <xf numFmtId="0" fontId="72" fillId="0" borderId="0" xfId="0" applyFont="1" applyAlignment="1" applyProtection="1">
      <alignment horizontal="left" vertical="top" wrapText="1"/>
      <protection locked="0"/>
    </xf>
    <xf numFmtId="2" fontId="25" fillId="0" borderId="10" xfId="0" applyNumberFormat="1" applyFont="1" applyBorder="1" applyAlignment="1" applyProtection="1">
      <alignment horizontal="center"/>
    </xf>
    <xf numFmtId="3" fontId="25" fillId="0" borderId="0" xfId="0" applyNumberFormat="1" applyFont="1" applyAlignment="1" applyProtection="1">
      <alignment horizontal="center" vertical="top" wrapText="1"/>
    </xf>
    <xf numFmtId="0" fontId="61" fillId="0" borderId="0" xfId="0" applyFont="1" applyAlignment="1" applyProtection="1">
      <alignment horizontal="left" vertical="top" wrapText="1"/>
    </xf>
    <xf numFmtId="10" fontId="25" fillId="0" borderId="10" xfId="0" applyNumberFormat="1" applyFont="1" applyBorder="1" applyAlignment="1" applyProtection="1">
      <alignment horizontal="center"/>
    </xf>
    <xf numFmtId="4" fontId="25" fillId="0" borderId="10" xfId="0" applyNumberFormat="1" applyFont="1" applyBorder="1" applyAlignment="1" applyProtection="1">
      <alignment horizontal="center"/>
    </xf>
    <xf numFmtId="0" fontId="45" fillId="0" borderId="0" xfId="0" applyFont="1" applyAlignment="1">
      <alignment horizontal="left" vertical="top" wrapText="1"/>
    </xf>
    <xf numFmtId="0" fontId="58" fillId="0" borderId="0" xfId="0" applyFont="1" applyAlignment="1" applyProtection="1">
      <alignment horizontal="left" vertical="top" wrapText="1"/>
    </xf>
    <xf numFmtId="0" fontId="61" fillId="0" borderId="0" xfId="0" applyFont="1" applyAlignment="1">
      <alignment horizontal="left" vertical="top" wrapText="1"/>
    </xf>
    <xf numFmtId="3" fontId="26" fillId="25" borderId="81" xfId="0" applyNumberFormat="1" applyFont="1" applyFill="1" applyBorder="1" applyAlignment="1" applyProtection="1">
      <alignment horizontal="left" vertical="top" wrapText="1"/>
    </xf>
    <xf numFmtId="3" fontId="26" fillId="25" borderId="0" xfId="0" applyNumberFormat="1" applyFont="1" applyFill="1" applyAlignment="1" applyProtection="1">
      <alignment horizontal="left" vertical="top" wrapText="1"/>
    </xf>
    <xf numFmtId="3" fontId="23" fillId="0" borderId="0" xfId="0" applyNumberFormat="1" applyFont="1" applyAlignment="1" applyProtection="1">
      <alignment horizontal="left" vertical="top" wrapText="1"/>
    </xf>
    <xf numFmtId="0" fontId="2" fillId="17" borderId="0" xfId="0" applyFont="1" applyFill="1" applyAlignment="1" applyProtection="1">
      <alignment horizontal="left" vertical="top" wrapText="1"/>
    </xf>
    <xf numFmtId="0" fontId="61" fillId="8" borderId="0" xfId="0" applyFont="1" applyFill="1" applyAlignment="1" applyProtection="1">
      <alignment horizontal="left" vertical="top" wrapText="1"/>
    </xf>
    <xf numFmtId="0" fontId="84" fillId="17" borderId="25" xfId="43" applyFont="1" applyFill="1" applyBorder="1" applyAlignment="1" applyProtection="1">
      <alignment horizontal="right"/>
    </xf>
    <xf numFmtId="0" fontId="74" fillId="17" borderId="25" xfId="43" applyFont="1" applyFill="1" applyBorder="1" applyAlignment="1" applyProtection="1">
      <alignment horizontal="right" wrapText="1"/>
    </xf>
    <xf numFmtId="0" fontId="79" fillId="17" borderId="18" xfId="43" applyFont="1" applyFill="1" applyBorder="1" applyAlignment="1" applyProtection="1">
      <alignment horizontal="center" vertical="center" wrapText="1"/>
    </xf>
    <xf numFmtId="0" fontId="79" fillId="17" borderId="26" xfId="43" applyFont="1" applyFill="1" applyBorder="1" applyAlignment="1" applyProtection="1">
      <alignment horizontal="center" vertical="center" wrapText="1"/>
    </xf>
    <xf numFmtId="0" fontId="79" fillId="17" borderId="19" xfId="43" applyFont="1" applyFill="1" applyBorder="1" applyAlignment="1" applyProtection="1">
      <alignment horizontal="center" vertical="center" wrapText="1"/>
    </xf>
    <xf numFmtId="185" fontId="79" fillId="17" borderId="91" xfId="43" applyNumberFormat="1" applyFont="1" applyFill="1" applyBorder="1" applyAlignment="1" applyProtection="1">
      <alignment horizontal="center"/>
    </xf>
    <xf numFmtId="185" fontId="79" fillId="17" borderId="92" xfId="43" applyNumberFormat="1" applyFont="1" applyFill="1" applyBorder="1" applyAlignment="1" applyProtection="1">
      <alignment horizontal="center"/>
    </xf>
    <xf numFmtId="10" fontId="79" fillId="17" borderId="92" xfId="21" applyNumberFormat="1" applyFont="1" applyFill="1" applyBorder="1" applyAlignment="1" applyProtection="1">
      <alignment horizontal="center"/>
    </xf>
    <xf numFmtId="10" fontId="79" fillId="17" borderId="93" xfId="21" applyNumberFormat="1" applyFont="1" applyFill="1" applyBorder="1" applyAlignment="1" applyProtection="1">
      <alignment horizontal="center"/>
    </xf>
  </cellXfs>
  <cellStyles count="45">
    <cellStyle name="Bad" xfId="1" builtinId="27" customBuiltin="1"/>
    <cellStyle name="Calculation" xfId="2" builtinId="22" customBuiltin="1"/>
    <cellStyle name="Calculation 2" xfId="3"/>
    <cellStyle name="Comma" xfId="4" builtinId="3"/>
    <cellStyle name="EYHeader1" xfId="44"/>
    <cellStyle name="Heading 1" xfId="5" builtinId="16" customBuiltin="1"/>
    <cellStyle name="Heading 2" xfId="6" builtinId="17" customBuiltin="1"/>
    <cellStyle name="Heading 3" xfId="7" builtinId="18" customBuiltin="1"/>
    <cellStyle name="Heading 4" xfId="8" builtinId="19" customBuiltin="1"/>
    <cellStyle name="Heading2" xfId="9"/>
    <cellStyle name="Heading3" xfId="10"/>
    <cellStyle name="Heading4" xfId="11"/>
    <cellStyle name="Heading5" xfId="12"/>
    <cellStyle name="Heading6" xfId="13"/>
    <cellStyle name="Neutral" xfId="14" builtinId="28" customBuiltin="1"/>
    <cellStyle name="Normal" xfId="0" builtinId="0"/>
    <cellStyle name="Normal 2" xfId="15"/>
    <cellStyle name="Normal 3" xfId="16"/>
    <cellStyle name="Normal 4" xfId="17"/>
    <cellStyle name="Normal_Austrumlatvija 3(invest)_25-12-04" xfId="18"/>
    <cellStyle name="Normal_pielikums veidlapai-2_v2_12082008" xfId="43"/>
    <cellStyle name="Note" xfId="19" builtinId="10" customBuiltin="1"/>
    <cellStyle name="Output" xfId="20" builtinId="21" customBuiltin="1"/>
    <cellStyle name="Percent" xfId="21" builtinId="5"/>
    <cellStyle name="Percent 2" xfId="22"/>
    <cellStyle name="Percent 4" xfId="23"/>
    <cellStyle name="TAB01" xfId="24"/>
    <cellStyle name="TAB01Centrs" xfId="25"/>
    <cellStyle name="TAB02" xfId="26"/>
    <cellStyle name="TAB03" xfId="27"/>
    <cellStyle name="TAB04" xfId="28"/>
    <cellStyle name="TAB041" xfId="29"/>
    <cellStyle name="TAB04Left" xfId="30"/>
    <cellStyle name="TAB04Plāns" xfId="31"/>
    <cellStyle name="TAB04Projekts" xfId="32"/>
    <cellStyle name="TAB04Vēsture" xfId="33"/>
    <cellStyle name="TAB05" xfId="34"/>
    <cellStyle name="TAB051" xfId="35"/>
    <cellStyle name="TAB05Vēsture" xfId="36"/>
    <cellStyle name="Table content" xfId="37"/>
    <cellStyle name="Tabulas" xfId="38"/>
    <cellStyle name="Tabulas virsraksts" xfId="39"/>
    <cellStyle name="Title" xfId="40" builtinId="15" customBuiltin="1"/>
    <cellStyle name="Total" xfId="41" builtinId="25" customBuiltin="1"/>
    <cellStyle name="Virsraksts" xfId="42"/>
  </cellStyles>
  <dxfs count="8">
    <dxf>
      <fill>
        <patternFill>
          <bgColor rgb="FFFF0000"/>
        </patternFill>
      </fill>
    </dxf>
    <dxf>
      <fill>
        <patternFill>
          <bgColor rgb="FFFF0000"/>
        </patternFill>
      </fill>
    </dxf>
    <dxf>
      <fill>
        <patternFill>
          <bgColor rgb="FFFF0000"/>
        </patternFill>
      </fill>
    </dxf>
    <dxf>
      <font>
        <color rgb="FFFF0000"/>
      </font>
    </dxf>
    <dxf>
      <font>
        <color rgb="FFFF0000"/>
      </font>
    </dxf>
    <dxf>
      <font>
        <color rgb="FFFF0000"/>
      </font>
    </dxf>
    <dxf>
      <fill>
        <patternFill>
          <bgColor rgb="FFFF0000"/>
        </patternFill>
      </fill>
    </dxf>
    <dxf>
      <font>
        <color rgb="FFFF0000"/>
      </font>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950E"/>
      <rgbColor rgb="00666699"/>
      <rgbColor rgb="00969696"/>
      <rgbColor rgb="00003366"/>
      <rgbColor rgb="00339966"/>
      <rgbColor rgb="00003300"/>
      <rgbColor rgb="001A1A1A"/>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evak\finansu_modelis\SAM_521\5212\SAM_5212_perk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Titullapa"/>
      <sheetName val="1.DL Projekta budžets"/>
      <sheetName val="2.DL Naudas plūsma bez projekta"/>
      <sheetName val="3.DL Naudas plūsma ar projektu"/>
      <sheetName val="4.DL Projekta_finansiala_ilgtsp"/>
      <sheetName val="5.DL_Proj_iesn_naudas_plusma"/>
      <sheetName val="6.DL Soc.ekon.analīze"/>
      <sheetName val="7.DL Jūtīguma analīze_Invest"/>
      <sheetName val="8.DL jut.analīze_Soc"/>
      <sheetName val="9.DL jut.anal_Kap_NP"/>
      <sheetName val="10.AL Budžets"/>
      <sheetName val="11.AL Alternatīvu analīze"/>
      <sheetName val="12. AL Soc.ekonom.anal."/>
      <sheetName val="13.RL Kapitāla naudas plūsma"/>
      <sheetName val="14.RL Kapit.NP_stimul.ietekm."/>
      <sheetName val="15.RL Investīciju naudas plūsma"/>
      <sheetName val="16.RL Sociālekonomiskā analīze"/>
      <sheetName val="17.Kontroles lapa"/>
      <sheetName val="18.PIV 2.pielikums Fin.plāns"/>
      <sheetName val="19.PIV 4.pielikums finanšu anal"/>
      <sheetName val="Paskaidrojums"/>
    </sheetNames>
    <sheetDataSet>
      <sheetData sheetId="0"/>
      <sheetData sheetId="1"/>
      <sheetData sheetId="2"/>
      <sheetData sheetId="3">
        <row r="23">
          <cell r="A23" t="str">
            <v>2.1.</v>
          </cell>
        </row>
        <row r="34">
          <cell r="A34" t="str">
            <v>2.2.</v>
          </cell>
        </row>
        <row r="37">
          <cell r="A37" t="str">
            <v>2.3.</v>
          </cell>
        </row>
        <row r="43">
          <cell r="A43" t="str">
            <v>2.4.</v>
          </cell>
        </row>
      </sheetData>
      <sheetData sheetId="4">
        <row r="52">
          <cell r="A52" t="str">
            <v>3.</v>
          </cell>
        </row>
        <row r="53">
          <cell r="A53" t="str">
            <v>3.1.</v>
          </cell>
        </row>
        <row r="55">
          <cell r="A55" t="str">
            <v>3.2.</v>
          </cell>
        </row>
        <row r="57">
          <cell r="A57" t="str">
            <v>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FZ231"/>
  <sheetViews>
    <sheetView tabSelected="1" zoomScale="70" zoomScaleNormal="70" zoomScaleSheetLayoutView="90" workbookViewId="0">
      <selection activeCell="N31" sqref="N31"/>
    </sheetView>
  </sheetViews>
  <sheetFormatPr defaultColWidth="9.140625" defaultRowHeight="12.75" x14ac:dyDescent="0.2"/>
  <cols>
    <col min="1" max="1" width="70.140625" style="351" customWidth="1"/>
    <col min="2" max="2" width="17.85546875" style="351" customWidth="1"/>
    <col min="3" max="3" width="13.42578125" style="351" customWidth="1"/>
    <col min="4" max="4" width="12.7109375" style="351" customWidth="1"/>
    <col min="5" max="5" width="13.140625" style="351" customWidth="1"/>
    <col min="6" max="8" width="12.5703125" style="351" customWidth="1"/>
    <col min="9" max="9" width="16.85546875" style="351" customWidth="1"/>
    <col min="10" max="10" width="18.140625" style="351" customWidth="1"/>
    <col min="11" max="11" width="13.7109375" style="351" customWidth="1"/>
    <col min="12" max="12" width="12.42578125" style="351" customWidth="1"/>
    <col min="13" max="13" width="12.140625" style="351" customWidth="1"/>
    <col min="14" max="14" width="22" style="351" customWidth="1"/>
    <col min="15" max="15" width="23" style="351" customWidth="1"/>
    <col min="16" max="16" width="25" style="351" customWidth="1"/>
    <col min="17" max="18" width="20.7109375" style="351" customWidth="1"/>
    <col min="19" max="19" width="37" style="351" customWidth="1"/>
    <col min="20" max="35" width="12.42578125" style="351" bestFit="1" customWidth="1"/>
    <col min="36" max="36" width="9.28515625" style="351" customWidth="1"/>
    <col min="37" max="37" width="22.42578125" style="351" customWidth="1"/>
    <col min="38" max="38" width="9.28515625" style="351" customWidth="1"/>
    <col min="39" max="40" width="9.140625" style="351" customWidth="1"/>
    <col min="41" max="41" width="32" style="351" customWidth="1"/>
    <col min="42" max="16384" width="9.140625" style="351"/>
  </cols>
  <sheetData>
    <row r="1" spans="1:37" ht="20.25" x14ac:dyDescent="0.2">
      <c r="A1" s="304" t="s">
        <v>0</v>
      </c>
      <c r="D1" s="352"/>
      <c r="E1" s="353"/>
      <c r="G1" s="354" t="s">
        <v>314</v>
      </c>
      <c r="H1" s="354"/>
      <c r="AK1" s="69" t="s">
        <v>19</v>
      </c>
    </row>
    <row r="2" spans="1:37" ht="48" customHeight="1" x14ac:dyDescent="0.2">
      <c r="A2" s="1007" t="s">
        <v>515</v>
      </c>
      <c r="B2" s="1007"/>
      <c r="C2" s="1007"/>
      <c r="D2" s="1007"/>
      <c r="E2" s="1007"/>
      <c r="G2" s="355"/>
      <c r="H2" s="356" t="s">
        <v>312</v>
      </c>
      <c r="AK2" s="69" t="s">
        <v>20</v>
      </c>
    </row>
    <row r="3" spans="1:37" ht="31.5" customHeight="1" x14ac:dyDescent="0.2">
      <c r="A3" s="1007" t="s">
        <v>514</v>
      </c>
      <c r="B3" s="1007"/>
      <c r="C3" s="1007"/>
      <c r="D3" s="1007"/>
      <c r="E3" s="1007"/>
      <c r="G3" s="357"/>
      <c r="H3" s="356" t="s">
        <v>313</v>
      </c>
      <c r="AK3" s="69" t="s">
        <v>304</v>
      </c>
    </row>
    <row r="4" spans="1:37" ht="15.75" x14ac:dyDescent="0.2">
      <c r="A4" s="1007" t="s">
        <v>306</v>
      </c>
      <c r="B4" s="1007"/>
      <c r="C4" s="1007"/>
      <c r="D4" s="1007"/>
      <c r="E4" s="1007"/>
      <c r="AK4" s="69" t="s">
        <v>4</v>
      </c>
    </row>
    <row r="5" spans="1:37" ht="15.75" customHeight="1" x14ac:dyDescent="0.2">
      <c r="A5" s="1007" t="s">
        <v>343</v>
      </c>
      <c r="B5" s="1007"/>
      <c r="C5" s="1007"/>
      <c r="D5" s="1007"/>
      <c r="E5" s="1007"/>
      <c r="AK5" s="69" t="s">
        <v>325</v>
      </c>
    </row>
    <row r="6" spans="1:37" ht="18" customHeight="1" x14ac:dyDescent="0.2">
      <c r="A6" s="1007"/>
      <c r="B6" s="1007"/>
      <c r="C6" s="1007"/>
      <c r="D6" s="1007"/>
      <c r="E6" s="1007"/>
      <c r="K6" s="356"/>
      <c r="AK6" s="69" t="s">
        <v>326</v>
      </c>
    </row>
    <row r="7" spans="1:37" ht="15.75" x14ac:dyDescent="0.2">
      <c r="A7" s="358"/>
      <c r="K7" s="356"/>
      <c r="AK7" s="69" t="s">
        <v>327</v>
      </c>
    </row>
    <row r="8" spans="1:37" x14ac:dyDescent="0.2">
      <c r="A8" s="897" t="s">
        <v>357</v>
      </c>
      <c r="B8" s="989" t="s">
        <v>353</v>
      </c>
      <c r="C8" s="989"/>
      <c r="D8" s="989"/>
      <c r="E8" s="989"/>
      <c r="F8" s="989"/>
      <c r="G8" s="989"/>
      <c r="H8" s="897"/>
      <c r="I8" s="897" t="s">
        <v>358</v>
      </c>
      <c r="J8" s="359"/>
      <c r="K8" s="356"/>
      <c r="AK8" s="69" t="s">
        <v>328</v>
      </c>
    </row>
    <row r="9" spans="1:37" x14ac:dyDescent="0.2">
      <c r="A9" s="989" t="s">
        <v>354</v>
      </c>
      <c r="B9" s="989"/>
      <c r="C9" s="989"/>
      <c r="D9" s="989"/>
      <c r="E9" s="989"/>
      <c r="F9" s="989"/>
      <c r="G9" s="989"/>
      <c r="H9" s="989"/>
      <c r="I9" s="989"/>
      <c r="J9" s="359"/>
      <c r="K9" s="356"/>
    </row>
    <row r="10" spans="1:37" ht="14.25" customHeight="1" x14ac:dyDescent="0.2">
      <c r="A10" s="360" t="s">
        <v>1</v>
      </c>
      <c r="B10" s="1010"/>
      <c r="C10" s="1010"/>
      <c r="D10" s="1010"/>
      <c r="E10" s="1010"/>
      <c r="F10" s="1010"/>
      <c r="G10" s="1011"/>
      <c r="H10" s="1009" t="s">
        <v>330</v>
      </c>
      <c r="I10" s="991"/>
      <c r="J10" s="991"/>
      <c r="K10" s="361"/>
      <c r="L10" s="361"/>
      <c r="M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2"/>
    </row>
    <row r="11" spans="1:37" ht="14.25" customHeight="1" x14ac:dyDescent="0.2">
      <c r="A11" s="363" t="s">
        <v>2</v>
      </c>
      <c r="B11" s="1012"/>
      <c r="C11" s="1012"/>
      <c r="D11" s="1012"/>
      <c r="E11" s="1012"/>
      <c r="F11" s="1012"/>
      <c r="G11" s="1013"/>
      <c r="H11" s="990" t="s">
        <v>324</v>
      </c>
      <c r="I11" s="991"/>
      <c r="J11" s="991"/>
      <c r="K11" s="364"/>
      <c r="L11" s="364"/>
      <c r="M11" s="364"/>
      <c r="O11" s="364"/>
      <c r="P11" s="361"/>
      <c r="Q11" s="361"/>
      <c r="R11" s="361"/>
      <c r="S11" s="361"/>
      <c r="T11" s="361"/>
      <c r="U11" s="361"/>
      <c r="V11" s="361"/>
      <c r="W11" s="361"/>
      <c r="X11" s="361"/>
      <c r="Y11" s="361"/>
      <c r="Z11" s="361"/>
      <c r="AA11" s="361"/>
      <c r="AB11" s="361"/>
      <c r="AC11" s="361"/>
      <c r="AD11" s="361"/>
      <c r="AE11" s="361"/>
      <c r="AF11" s="361"/>
      <c r="AG11" s="361"/>
      <c r="AH11" s="361"/>
      <c r="AI11" s="361"/>
      <c r="AJ11" s="361"/>
      <c r="AK11" s="362"/>
    </row>
    <row r="12" spans="1:37" ht="18.75" customHeight="1" x14ac:dyDescent="0.2">
      <c r="A12" s="363" t="s">
        <v>3</v>
      </c>
      <c r="B12" s="1014" t="s">
        <v>4</v>
      </c>
      <c r="C12" s="1014"/>
      <c r="D12" s="1014"/>
      <c r="E12" s="1014"/>
      <c r="F12" s="1014"/>
      <c r="G12" s="1015"/>
      <c r="H12" s="990" t="s">
        <v>303</v>
      </c>
      <c r="I12" s="991"/>
      <c r="J12" s="991"/>
      <c r="W12" s="362"/>
      <c r="X12" s="362"/>
      <c r="Y12" s="362"/>
      <c r="Z12" s="362"/>
      <c r="AA12" s="362"/>
      <c r="AB12" s="362"/>
      <c r="AC12" s="362"/>
      <c r="AD12" s="362"/>
      <c r="AE12" s="362"/>
      <c r="AF12" s="362"/>
    </row>
    <row r="13" spans="1:37" x14ac:dyDescent="0.2">
      <c r="A13" s="363" t="s">
        <v>316</v>
      </c>
      <c r="B13" s="1016">
        <v>2019</v>
      </c>
      <c r="C13" s="1016"/>
      <c r="D13" s="1016"/>
      <c r="E13" s="1016"/>
      <c r="F13" s="1016"/>
      <c r="G13" s="1016"/>
      <c r="H13" s="362"/>
      <c r="I13" s="365"/>
      <c r="W13" s="362"/>
      <c r="X13" s="362"/>
      <c r="Y13" s="362"/>
      <c r="Z13" s="362"/>
      <c r="AA13" s="362"/>
      <c r="AB13" s="362"/>
      <c r="AC13" s="362"/>
      <c r="AD13" s="362"/>
      <c r="AE13" s="362"/>
      <c r="AF13" s="362"/>
    </row>
    <row r="14" spans="1:37" ht="56.25" customHeight="1" x14ac:dyDescent="0.2">
      <c r="A14" s="363" t="s">
        <v>602</v>
      </c>
      <c r="B14" s="1008">
        <v>2020</v>
      </c>
      <c r="C14" s="1008"/>
      <c r="D14" s="1008"/>
      <c r="E14" s="1008"/>
      <c r="F14" s="1008"/>
      <c r="G14" s="1008"/>
      <c r="H14" s="990" t="s">
        <v>665</v>
      </c>
      <c r="I14" s="991"/>
      <c r="J14" s="991"/>
      <c r="W14" s="362"/>
      <c r="X14" s="362"/>
      <c r="Y14" s="362"/>
      <c r="Z14" s="362"/>
      <c r="AA14" s="362"/>
      <c r="AB14" s="362"/>
      <c r="AC14" s="362"/>
      <c r="AD14" s="362"/>
      <c r="AE14" s="362"/>
      <c r="AF14" s="362"/>
    </row>
    <row r="15" spans="1:37" ht="39.75" customHeight="1" x14ac:dyDescent="0.2">
      <c r="A15" s="363" t="s">
        <v>11</v>
      </c>
      <c r="B15" s="1008">
        <v>2022</v>
      </c>
      <c r="C15" s="1008"/>
      <c r="D15" s="1008"/>
      <c r="E15" s="1008"/>
      <c r="F15" s="1008"/>
      <c r="G15" s="1008"/>
      <c r="H15" s="990" t="s">
        <v>342</v>
      </c>
      <c r="I15" s="991"/>
      <c r="J15" s="991"/>
      <c r="W15" s="362"/>
      <c r="X15" s="362"/>
      <c r="Y15" s="362"/>
      <c r="Z15" s="362"/>
      <c r="AA15" s="362"/>
      <c r="AB15" s="362"/>
      <c r="AC15" s="362"/>
      <c r="AD15" s="362"/>
      <c r="AE15" s="362"/>
      <c r="AF15" s="362"/>
    </row>
    <row r="16" spans="1:37" x14ac:dyDescent="0.2">
      <c r="C16" s="366"/>
      <c r="D16" s="366"/>
      <c r="E16" s="367"/>
      <c r="F16" s="367"/>
      <c r="G16" s="362"/>
      <c r="H16" s="362"/>
      <c r="W16" s="362"/>
      <c r="X16" s="362"/>
      <c r="Y16" s="362"/>
      <c r="Z16" s="362"/>
      <c r="AA16" s="362"/>
      <c r="AB16" s="362"/>
      <c r="AC16" s="362"/>
      <c r="AD16" s="362"/>
      <c r="AE16" s="362"/>
      <c r="AF16" s="362"/>
    </row>
    <row r="17" spans="1:32" x14ac:dyDescent="0.2">
      <c r="A17" s="989" t="s">
        <v>341</v>
      </c>
      <c r="B17" s="989"/>
      <c r="C17" s="989"/>
      <c r="D17" s="989"/>
      <c r="E17" s="989"/>
      <c r="F17" s="989"/>
      <c r="G17" s="989"/>
      <c r="H17" s="989"/>
      <c r="I17" s="989"/>
      <c r="W17" s="362"/>
      <c r="X17" s="362"/>
      <c r="Y17" s="362"/>
      <c r="Z17" s="362"/>
      <c r="AA17" s="362"/>
      <c r="AB17" s="362"/>
      <c r="AC17" s="362"/>
      <c r="AD17" s="362"/>
      <c r="AE17" s="362"/>
      <c r="AF17" s="362"/>
    </row>
    <row r="18" spans="1:32" ht="25.5" customHeight="1" x14ac:dyDescent="0.2">
      <c r="A18" s="368"/>
      <c r="B18" s="71">
        <f>B13</f>
        <v>2019</v>
      </c>
      <c r="C18" s="366"/>
      <c r="D18" s="366"/>
      <c r="E18" s="367"/>
      <c r="F18" s="367"/>
      <c r="G18" s="362"/>
      <c r="H18" s="991" t="s">
        <v>345</v>
      </c>
      <c r="I18" s="991"/>
      <c r="J18" s="991"/>
      <c r="W18" s="362"/>
      <c r="X18" s="362"/>
      <c r="Y18" s="362"/>
      <c r="Z18" s="362"/>
      <c r="AA18" s="362"/>
      <c r="AB18" s="362"/>
      <c r="AC18" s="362"/>
      <c r="AD18" s="362"/>
      <c r="AE18" s="362"/>
      <c r="AF18" s="362"/>
    </row>
    <row r="19" spans="1:32" ht="13.5" x14ac:dyDescent="0.25">
      <c r="A19" s="369" t="s">
        <v>348</v>
      </c>
      <c r="B19" s="370"/>
      <c r="C19" s="366"/>
      <c r="D19" s="366"/>
      <c r="E19" s="367"/>
      <c r="F19" s="367"/>
      <c r="G19" s="362"/>
      <c r="H19" s="362"/>
      <c r="I19" s="362"/>
      <c r="W19" s="362"/>
      <c r="X19" s="362"/>
      <c r="Y19" s="362"/>
      <c r="Z19" s="362"/>
      <c r="AA19" s="362"/>
      <c r="AB19" s="362"/>
      <c r="AC19" s="362"/>
      <c r="AD19" s="362"/>
      <c r="AE19" s="362"/>
      <c r="AF19" s="362"/>
    </row>
    <row r="20" spans="1:32" x14ac:dyDescent="0.2">
      <c r="A20" s="371" t="s">
        <v>8</v>
      </c>
      <c r="B20" s="644">
        <v>281540</v>
      </c>
      <c r="C20" s="366"/>
      <c r="D20" s="366"/>
      <c r="E20" s="367"/>
      <c r="F20" s="367"/>
      <c r="G20" s="362"/>
      <c r="H20" s="362"/>
      <c r="I20" s="362"/>
      <c r="W20" s="362"/>
      <c r="X20" s="362"/>
      <c r="Y20" s="362"/>
      <c r="Z20" s="362"/>
      <c r="AA20" s="362"/>
      <c r="AB20" s="362"/>
      <c r="AC20" s="362"/>
      <c r="AD20" s="362"/>
      <c r="AE20" s="362"/>
      <c r="AF20" s="362"/>
    </row>
    <row r="21" spans="1:32" x14ac:dyDescent="0.2">
      <c r="A21" s="371" t="s">
        <v>9</v>
      </c>
      <c r="B21" s="644">
        <v>15000</v>
      </c>
      <c r="C21" s="366"/>
      <c r="D21" s="366"/>
      <c r="E21" s="367"/>
      <c r="F21" s="367"/>
      <c r="G21" s="362"/>
      <c r="H21" s="362"/>
      <c r="I21" s="362"/>
      <c r="W21" s="362"/>
      <c r="X21" s="362"/>
      <c r="Y21" s="362"/>
      <c r="Z21" s="362"/>
      <c r="AA21" s="362"/>
      <c r="AB21" s="362"/>
      <c r="AC21" s="362"/>
      <c r="AD21" s="362"/>
      <c r="AE21" s="362"/>
      <c r="AF21" s="362"/>
    </row>
    <row r="22" spans="1:32" x14ac:dyDescent="0.2">
      <c r="A22" s="371" t="s">
        <v>10</v>
      </c>
      <c r="B22" s="644"/>
      <c r="C22" s="366"/>
      <c r="D22" s="366"/>
      <c r="E22" s="367"/>
      <c r="F22" s="367"/>
      <c r="G22" s="362"/>
      <c r="H22" s="362"/>
      <c r="I22" s="362"/>
      <c r="W22" s="362"/>
      <c r="X22" s="362"/>
      <c r="Y22" s="362"/>
      <c r="Z22" s="362"/>
      <c r="AA22" s="362"/>
      <c r="AB22" s="362"/>
      <c r="AC22" s="362"/>
      <c r="AD22" s="362"/>
      <c r="AE22" s="362"/>
      <c r="AF22" s="362"/>
    </row>
    <row r="23" spans="1:32" x14ac:dyDescent="0.2">
      <c r="A23" s="371" t="s">
        <v>315</v>
      </c>
      <c r="B23" s="644">
        <v>4286</v>
      </c>
      <c r="C23" s="366"/>
      <c r="D23" s="366"/>
      <c r="E23" s="367"/>
      <c r="F23" s="367"/>
      <c r="G23" s="362"/>
      <c r="H23" s="362"/>
      <c r="I23" s="362"/>
      <c r="W23" s="362"/>
      <c r="X23" s="362"/>
      <c r="Y23" s="362"/>
      <c r="Z23" s="362"/>
      <c r="AA23" s="362"/>
      <c r="AB23" s="362"/>
      <c r="AC23" s="362"/>
      <c r="AD23" s="362"/>
      <c r="AE23" s="362"/>
      <c r="AF23" s="362"/>
    </row>
    <row r="24" spans="1:32" ht="13.5" x14ac:dyDescent="0.25">
      <c r="A24" s="369" t="s">
        <v>349</v>
      </c>
      <c r="B24" s="645"/>
      <c r="C24" s="366"/>
      <c r="D24" s="366"/>
      <c r="E24" s="367"/>
      <c r="F24" s="367"/>
      <c r="G24" s="362"/>
      <c r="H24" s="362"/>
      <c r="I24" s="362"/>
      <c r="W24" s="362"/>
      <c r="X24" s="362"/>
      <c r="Y24" s="362"/>
      <c r="Z24" s="362"/>
      <c r="AA24" s="362"/>
      <c r="AB24" s="362"/>
      <c r="AC24" s="362"/>
      <c r="AD24" s="362"/>
      <c r="AE24" s="362"/>
      <c r="AF24" s="362"/>
    </row>
    <row r="25" spans="1:32" x14ac:dyDescent="0.2">
      <c r="A25" s="372" t="s">
        <v>8</v>
      </c>
      <c r="B25" s="644">
        <v>4273689.1600000029</v>
      </c>
      <c r="C25" s="366"/>
      <c r="D25" s="366"/>
      <c r="E25" s="367"/>
      <c r="F25" s="367"/>
      <c r="G25" s="362"/>
      <c r="H25" s="362"/>
      <c r="I25" s="362"/>
      <c r="W25" s="362"/>
      <c r="X25" s="362"/>
      <c r="Y25" s="362"/>
      <c r="Z25" s="362"/>
      <c r="AA25" s="362"/>
      <c r="AB25" s="362"/>
      <c r="AC25" s="362"/>
      <c r="AD25" s="362"/>
      <c r="AE25" s="362"/>
      <c r="AF25" s="362"/>
    </row>
    <row r="26" spans="1:32" x14ac:dyDescent="0.2">
      <c r="A26" s="372" t="s">
        <v>9</v>
      </c>
      <c r="B26" s="644">
        <v>91630.27</v>
      </c>
      <c r="C26" s="366"/>
      <c r="D26" s="366"/>
      <c r="E26" s="367"/>
      <c r="F26" s="367"/>
      <c r="G26" s="362"/>
      <c r="H26" s="362"/>
      <c r="I26" s="362"/>
      <c r="W26" s="362"/>
      <c r="X26" s="362"/>
      <c r="Y26" s="362"/>
      <c r="Z26" s="362"/>
      <c r="AA26" s="362"/>
      <c r="AB26" s="362"/>
      <c r="AC26" s="362"/>
      <c r="AD26" s="362"/>
      <c r="AE26" s="362"/>
      <c r="AF26" s="362"/>
    </row>
    <row r="27" spans="1:32" x14ac:dyDescent="0.2">
      <c r="A27" s="372" t="s">
        <v>10</v>
      </c>
      <c r="B27" s="644"/>
      <c r="C27" s="366"/>
      <c r="D27" s="366"/>
      <c r="E27" s="367"/>
      <c r="F27" s="367"/>
      <c r="G27" s="362"/>
      <c r="H27" s="362"/>
      <c r="I27" s="362"/>
      <c r="W27" s="362"/>
      <c r="X27" s="362"/>
      <c r="Y27" s="362"/>
      <c r="Z27" s="362"/>
      <c r="AA27" s="362"/>
      <c r="AB27" s="362"/>
      <c r="AC27" s="362"/>
      <c r="AD27" s="362"/>
      <c r="AE27" s="362"/>
      <c r="AF27" s="362"/>
    </row>
    <row r="28" spans="1:32" x14ac:dyDescent="0.2">
      <c r="A28" s="371" t="s">
        <v>315</v>
      </c>
      <c r="B28" s="644">
        <v>249053.51</v>
      </c>
      <c r="C28" s="366"/>
      <c r="D28" s="366"/>
      <c r="E28" s="367"/>
      <c r="F28" s="367"/>
      <c r="G28" s="362"/>
      <c r="H28" s="362"/>
      <c r="I28" s="362"/>
      <c r="W28" s="362"/>
      <c r="X28" s="362"/>
      <c r="Y28" s="362"/>
      <c r="Z28" s="362"/>
      <c r="AA28" s="362"/>
      <c r="AB28" s="362"/>
      <c r="AC28" s="362"/>
      <c r="AD28" s="362"/>
      <c r="AE28" s="362"/>
      <c r="AF28" s="362"/>
    </row>
    <row r="29" spans="1:32" x14ac:dyDescent="0.2">
      <c r="A29" s="373" t="s">
        <v>26</v>
      </c>
      <c r="B29" s="646">
        <f>SUM(B20:B28)</f>
        <v>4915198.9400000023</v>
      </c>
      <c r="C29" s="366"/>
      <c r="D29" s="366"/>
      <c r="E29" s="367"/>
      <c r="F29" s="367"/>
      <c r="G29" s="362"/>
      <c r="H29" s="362"/>
      <c r="I29" s="362"/>
      <c r="W29" s="362"/>
      <c r="X29" s="362"/>
      <c r="Y29" s="362"/>
      <c r="Z29" s="362"/>
      <c r="AA29" s="362"/>
      <c r="AB29" s="362"/>
      <c r="AC29" s="362"/>
      <c r="AD29" s="362"/>
      <c r="AE29" s="362"/>
      <c r="AF29" s="362"/>
    </row>
    <row r="30" spans="1:32" ht="13.5" x14ac:dyDescent="0.25">
      <c r="A30" s="369" t="s">
        <v>27</v>
      </c>
      <c r="B30" s="645"/>
      <c r="C30" s="366"/>
      <c r="D30" s="366"/>
      <c r="E30" s="367"/>
      <c r="F30" s="367"/>
      <c r="G30" s="362"/>
      <c r="H30" s="362"/>
      <c r="I30" s="362"/>
      <c r="W30" s="362"/>
      <c r="X30" s="362"/>
      <c r="Y30" s="362"/>
      <c r="Z30" s="362"/>
      <c r="AA30" s="362"/>
      <c r="AB30" s="362"/>
      <c r="AC30" s="362"/>
      <c r="AD30" s="362"/>
      <c r="AE30" s="362"/>
      <c r="AF30" s="362"/>
    </row>
    <row r="31" spans="1:32" x14ac:dyDescent="0.2">
      <c r="A31" s="371" t="s">
        <v>8</v>
      </c>
      <c r="B31" s="644">
        <v>5610</v>
      </c>
      <c r="C31" s="366"/>
      <c r="D31" s="366"/>
      <c r="E31" s="367"/>
      <c r="F31" s="367"/>
      <c r="G31" s="362"/>
      <c r="H31" s="362"/>
      <c r="I31" s="362"/>
      <c r="W31" s="362"/>
      <c r="X31" s="362"/>
      <c r="Y31" s="362"/>
      <c r="Z31" s="362"/>
      <c r="AA31" s="362"/>
      <c r="AB31" s="362"/>
      <c r="AC31" s="362"/>
      <c r="AD31" s="362"/>
      <c r="AE31" s="362"/>
      <c r="AF31" s="362"/>
    </row>
    <row r="32" spans="1:32" x14ac:dyDescent="0.2">
      <c r="A32" s="371" t="s">
        <v>9</v>
      </c>
      <c r="B32" s="644">
        <v>100</v>
      </c>
      <c r="C32" s="366"/>
      <c r="D32" s="366"/>
      <c r="E32" s="367"/>
      <c r="F32" s="367"/>
      <c r="G32" s="362"/>
      <c r="H32" s="362"/>
      <c r="I32" s="362"/>
      <c r="W32" s="362"/>
      <c r="X32" s="362"/>
      <c r="Y32" s="362"/>
      <c r="Z32" s="362"/>
      <c r="AA32" s="362"/>
      <c r="AB32" s="362"/>
      <c r="AC32" s="362"/>
      <c r="AD32" s="362"/>
      <c r="AE32" s="362"/>
      <c r="AF32" s="362"/>
    </row>
    <row r="33" spans="1:40" x14ac:dyDescent="0.2">
      <c r="A33" s="371" t="s">
        <v>10</v>
      </c>
      <c r="B33" s="644"/>
      <c r="C33" s="366"/>
      <c r="D33" s="366"/>
      <c r="E33" s="367"/>
      <c r="F33" s="367"/>
      <c r="G33" s="362"/>
      <c r="H33" s="362"/>
      <c r="I33" s="362"/>
      <c r="W33" s="362"/>
      <c r="X33" s="362"/>
      <c r="Y33" s="362"/>
      <c r="Z33" s="362"/>
      <c r="AA33" s="362"/>
      <c r="AB33" s="362"/>
      <c r="AC33" s="362"/>
      <c r="AD33" s="362"/>
      <c r="AE33" s="362"/>
      <c r="AF33" s="362"/>
    </row>
    <row r="34" spans="1:40" x14ac:dyDescent="0.2">
      <c r="A34" s="371" t="s">
        <v>315</v>
      </c>
      <c r="B34" s="644">
        <v>2000</v>
      </c>
      <c r="C34" s="366"/>
      <c r="D34" s="366"/>
      <c r="E34" s="367"/>
      <c r="F34" s="367"/>
      <c r="G34" s="362"/>
      <c r="H34" s="362"/>
      <c r="I34" s="362"/>
      <c r="W34" s="362"/>
      <c r="X34" s="362"/>
      <c r="Y34" s="362"/>
      <c r="Z34" s="362"/>
      <c r="AA34" s="362"/>
      <c r="AB34" s="362"/>
      <c r="AC34" s="362"/>
      <c r="AD34" s="362"/>
      <c r="AE34" s="362"/>
      <c r="AF34" s="362"/>
    </row>
    <row r="35" spans="1:40" ht="13.5" x14ac:dyDescent="0.25">
      <c r="A35" s="369" t="s">
        <v>590</v>
      </c>
      <c r="B35" s="645"/>
      <c r="C35" s="366"/>
      <c r="D35" s="366"/>
      <c r="E35" s="367"/>
      <c r="F35" s="367"/>
      <c r="G35" s="362"/>
      <c r="H35" s="362"/>
      <c r="I35" s="362"/>
      <c r="W35" s="362"/>
      <c r="X35" s="362"/>
      <c r="Y35" s="362"/>
      <c r="Z35" s="362"/>
      <c r="AA35" s="362"/>
      <c r="AB35" s="362"/>
      <c r="AC35" s="362"/>
      <c r="AD35" s="362"/>
      <c r="AE35" s="362"/>
      <c r="AF35" s="362"/>
    </row>
    <row r="36" spans="1:40" x14ac:dyDescent="0.2">
      <c r="A36" s="372" t="s">
        <v>8</v>
      </c>
      <c r="B36" s="644">
        <v>9355</v>
      </c>
      <c r="C36" s="366"/>
      <c r="D36" s="366"/>
      <c r="E36" s="367"/>
      <c r="F36" s="367"/>
      <c r="G36" s="362"/>
      <c r="H36" s="362"/>
      <c r="I36" s="362"/>
      <c r="W36" s="362"/>
      <c r="X36" s="362"/>
      <c r="Y36" s="362"/>
      <c r="Z36" s="362"/>
      <c r="AA36" s="362"/>
      <c r="AB36" s="362"/>
      <c r="AC36" s="362"/>
      <c r="AD36" s="362"/>
      <c r="AE36" s="362"/>
      <c r="AF36" s="362"/>
    </row>
    <row r="37" spans="1:40" x14ac:dyDescent="0.2">
      <c r="A37" s="372" t="s">
        <v>9</v>
      </c>
      <c r="B37" s="644">
        <v>218</v>
      </c>
      <c r="C37" s="366"/>
      <c r="D37" s="366"/>
      <c r="E37" s="367"/>
      <c r="F37" s="367"/>
      <c r="G37" s="362"/>
      <c r="H37" s="362"/>
      <c r="I37" s="362"/>
      <c r="W37" s="362"/>
      <c r="X37" s="362"/>
      <c r="Y37" s="362"/>
      <c r="Z37" s="362"/>
      <c r="AA37" s="362"/>
      <c r="AB37" s="362"/>
      <c r="AC37" s="362"/>
      <c r="AD37" s="362"/>
      <c r="AE37" s="362"/>
      <c r="AF37" s="362"/>
    </row>
    <row r="38" spans="1:40" x14ac:dyDescent="0.2">
      <c r="A38" s="372" t="s">
        <v>10</v>
      </c>
      <c r="B38" s="644"/>
      <c r="C38" s="366"/>
      <c r="D38" s="366"/>
      <c r="E38" s="367"/>
      <c r="F38" s="367"/>
      <c r="G38" s="362"/>
      <c r="H38" s="362"/>
      <c r="I38" s="362"/>
      <c r="W38" s="362"/>
      <c r="X38" s="362"/>
      <c r="Y38" s="362"/>
      <c r="Z38" s="362"/>
      <c r="AA38" s="362"/>
      <c r="AB38" s="362"/>
      <c r="AC38" s="362"/>
      <c r="AD38" s="362"/>
      <c r="AE38" s="362"/>
      <c r="AF38" s="362"/>
    </row>
    <row r="39" spans="1:40" x14ac:dyDescent="0.2">
      <c r="A39" s="371" t="s">
        <v>315</v>
      </c>
      <c r="B39" s="644">
        <v>3498</v>
      </c>
      <c r="C39" s="366"/>
      <c r="D39" s="366"/>
      <c r="E39" s="367"/>
      <c r="F39" s="367"/>
      <c r="G39" s="362"/>
      <c r="H39" s="362"/>
      <c r="I39" s="362"/>
      <c r="W39" s="362"/>
      <c r="X39" s="362"/>
      <c r="Y39" s="362"/>
      <c r="Z39" s="362"/>
      <c r="AA39" s="362"/>
      <c r="AB39" s="362"/>
      <c r="AC39" s="362"/>
      <c r="AD39" s="362"/>
      <c r="AE39" s="362"/>
      <c r="AF39" s="362"/>
    </row>
    <row r="40" spans="1:40" x14ac:dyDescent="0.2">
      <c r="A40" s="373" t="s">
        <v>350</v>
      </c>
      <c r="B40" s="646">
        <f>SUM(B31:B39)</f>
        <v>20781</v>
      </c>
      <c r="C40" s="366"/>
      <c r="D40" s="366"/>
      <c r="E40" s="367"/>
      <c r="F40" s="367"/>
      <c r="G40" s="362"/>
      <c r="H40" s="362"/>
      <c r="I40" s="362"/>
      <c r="W40" s="362"/>
      <c r="X40" s="362"/>
      <c r="Y40" s="362"/>
      <c r="Z40" s="362"/>
      <c r="AA40" s="362"/>
      <c r="AB40" s="362"/>
      <c r="AC40" s="362"/>
      <c r="AD40" s="362"/>
      <c r="AE40" s="362"/>
      <c r="AF40" s="362"/>
    </row>
    <row r="41" spans="1:40" x14ac:dyDescent="0.2">
      <c r="C41" s="366"/>
      <c r="D41" s="366"/>
      <c r="E41" s="367"/>
      <c r="F41" s="367"/>
      <c r="G41" s="362"/>
      <c r="H41" s="362"/>
      <c r="I41" s="362"/>
      <c r="W41" s="362"/>
      <c r="X41" s="362"/>
      <c r="Y41" s="362"/>
      <c r="Z41" s="362"/>
      <c r="AA41" s="362"/>
      <c r="AB41" s="362"/>
      <c r="AC41" s="362"/>
      <c r="AD41" s="362"/>
      <c r="AE41" s="362"/>
      <c r="AF41" s="362"/>
    </row>
    <row r="42" spans="1:40" x14ac:dyDescent="0.2">
      <c r="A42" s="989" t="s">
        <v>344</v>
      </c>
      <c r="B42" s="989"/>
      <c r="C42" s="989"/>
      <c r="D42" s="989"/>
      <c r="E42" s="989"/>
      <c r="F42" s="989"/>
      <c r="G42" s="989"/>
      <c r="H42" s="989"/>
      <c r="I42" s="989"/>
      <c r="M42" s="989" t="s">
        <v>606</v>
      </c>
      <c r="N42" s="989"/>
      <c r="O42" s="989"/>
      <c r="P42" s="989"/>
      <c r="Q42" s="989"/>
      <c r="R42" s="989"/>
      <c r="S42" s="989"/>
      <c r="W42" s="362"/>
      <c r="X42" s="362"/>
      <c r="Y42" s="362"/>
      <c r="Z42" s="362"/>
      <c r="AA42" s="362"/>
      <c r="AB42" s="362"/>
      <c r="AC42" s="362"/>
      <c r="AD42" s="362"/>
      <c r="AE42" s="362"/>
      <c r="AF42" s="362"/>
      <c r="AK42" s="374" t="s">
        <v>456</v>
      </c>
      <c r="AL42" s="374"/>
      <c r="AM42" s="374"/>
    </row>
    <row r="43" spans="1:40" ht="16.5" customHeight="1" x14ac:dyDescent="0.2">
      <c r="A43" s="992" t="s">
        <v>661</v>
      </c>
      <c r="B43" s="993"/>
      <c r="C43" s="993"/>
      <c r="D43" s="993"/>
      <c r="E43" s="993"/>
      <c r="F43" s="993"/>
      <c r="G43" s="993"/>
      <c r="H43" s="994"/>
      <c r="I43" s="990" t="s">
        <v>346</v>
      </c>
      <c r="J43" s="991"/>
      <c r="K43" s="991"/>
      <c r="L43" s="991"/>
      <c r="M43" s="989" t="s">
        <v>663</v>
      </c>
      <c r="N43" s="989"/>
      <c r="O43" s="989"/>
      <c r="P43" s="989"/>
      <c r="Q43" s="989"/>
      <c r="R43" s="989" t="s">
        <v>607</v>
      </c>
      <c r="S43" s="989"/>
      <c r="W43" s="362"/>
      <c r="X43" s="362"/>
      <c r="Y43" s="362"/>
      <c r="Z43" s="362"/>
      <c r="AA43" s="362"/>
      <c r="AB43" s="362"/>
      <c r="AC43" s="362"/>
      <c r="AD43" s="362"/>
      <c r="AE43" s="362"/>
      <c r="AF43" s="362"/>
      <c r="AK43" s="374"/>
      <c r="AL43" s="374"/>
      <c r="AM43" s="374"/>
    </row>
    <row r="44" spans="1:40" ht="84" customHeight="1" x14ac:dyDescent="0.2">
      <c r="B44" s="72">
        <f>B13</f>
        <v>2019</v>
      </c>
      <c r="C44" s="72">
        <f t="shared" ref="C44:H44" si="0">B44+1</f>
        <v>2020</v>
      </c>
      <c r="D44" s="72">
        <f t="shared" si="0"/>
        <v>2021</v>
      </c>
      <c r="E44" s="72">
        <f t="shared" si="0"/>
        <v>2022</v>
      </c>
      <c r="F44" s="72">
        <f t="shared" si="0"/>
        <v>2023</v>
      </c>
      <c r="G44" s="72">
        <f t="shared" si="0"/>
        <v>2024</v>
      </c>
      <c r="H44" s="72">
        <f t="shared" si="0"/>
        <v>2025</v>
      </c>
      <c r="M44" s="639" t="s">
        <v>608</v>
      </c>
      <c r="N44" s="639" t="s">
        <v>609</v>
      </c>
      <c r="O44" s="639" t="s">
        <v>610</v>
      </c>
      <c r="P44" s="639" t="s">
        <v>611</v>
      </c>
      <c r="Q44" s="639" t="s">
        <v>612</v>
      </c>
      <c r="R44" s="639" t="s">
        <v>613</v>
      </c>
      <c r="S44" s="639" t="s">
        <v>614</v>
      </c>
      <c r="W44" s="362"/>
      <c r="X44" s="362"/>
      <c r="Y44" s="362"/>
      <c r="Z44" s="362"/>
      <c r="AA44" s="362"/>
      <c r="AB44" s="362"/>
      <c r="AC44" s="362"/>
      <c r="AD44" s="362"/>
      <c r="AE44" s="362"/>
      <c r="AF44" s="362"/>
      <c r="AK44" s="374"/>
      <c r="AL44" s="374"/>
      <c r="AM44" s="374"/>
    </row>
    <row r="45" spans="1:40" ht="27.75" customHeight="1" x14ac:dyDescent="0.2">
      <c r="A45" s="375" t="s">
        <v>495</v>
      </c>
      <c r="B45" s="631"/>
      <c r="C45" s="647">
        <v>30000</v>
      </c>
      <c r="D45" s="647">
        <v>35000</v>
      </c>
      <c r="E45" s="647"/>
      <c r="F45" s="647"/>
      <c r="G45" s="647"/>
      <c r="H45" s="647"/>
      <c r="I45" s="990"/>
      <c r="J45" s="991"/>
      <c r="K45" s="991"/>
      <c r="L45" s="991"/>
      <c r="M45" s="640">
        <v>1</v>
      </c>
      <c r="N45" s="641">
        <v>65000</v>
      </c>
      <c r="O45" s="641">
        <v>25000</v>
      </c>
      <c r="P45" s="641">
        <v>1750</v>
      </c>
      <c r="Q45" s="641">
        <v>30000</v>
      </c>
      <c r="R45" s="642">
        <f>IF((5%*N45)&gt;=O45,O45,5%*N45)</f>
        <v>3250</v>
      </c>
      <c r="S45" s="642">
        <f>IF(SUM(N45+R45)*7%&gt;=P45,P45,SUM(N45+R45)*7%)</f>
        <v>1750</v>
      </c>
      <c r="W45" s="362"/>
      <c r="X45" s="362"/>
      <c r="Y45" s="362"/>
      <c r="Z45" s="362"/>
      <c r="AA45" s="362"/>
      <c r="AB45" s="362"/>
      <c r="AC45" s="362"/>
      <c r="AD45" s="362"/>
      <c r="AE45" s="362"/>
      <c r="AF45" s="362"/>
      <c r="AK45" s="376">
        <f>SUM(B45:H45)</f>
        <v>65000</v>
      </c>
      <c r="AL45" s="374"/>
      <c r="AM45" s="374"/>
    </row>
    <row r="46" spans="1:40" ht="12" customHeight="1" x14ac:dyDescent="0.2">
      <c r="A46" s="375" t="s">
        <v>496</v>
      </c>
      <c r="B46" s="631"/>
      <c r="C46" s="647">
        <v>25000</v>
      </c>
      <c r="D46" s="647"/>
      <c r="E46" s="647"/>
      <c r="F46" s="647"/>
      <c r="G46" s="647"/>
      <c r="H46" s="647"/>
      <c r="I46" s="990" t="s">
        <v>457</v>
      </c>
      <c r="J46" s="991"/>
      <c r="K46" s="991"/>
      <c r="L46" s="991"/>
      <c r="M46" s="640">
        <v>2</v>
      </c>
      <c r="N46" s="641"/>
      <c r="O46" s="641"/>
      <c r="P46" s="641"/>
      <c r="Q46" s="641"/>
      <c r="R46" s="642">
        <f t="shared" ref="R46:R54" si="1">IF((5%*N46)&gt;=O46,O46,5%*N46)</f>
        <v>0</v>
      </c>
      <c r="S46" s="642">
        <f t="shared" ref="S46:S54" si="2">IF(SUM(N46+R46)*7%&gt;=P46,P46,SUM(N46+R46)*7%)</f>
        <v>0</v>
      </c>
      <c r="W46" s="362"/>
      <c r="X46" s="362"/>
      <c r="Y46" s="362"/>
      <c r="Z46" s="362"/>
      <c r="AA46" s="362"/>
      <c r="AB46" s="362"/>
      <c r="AC46" s="362"/>
      <c r="AD46" s="362"/>
      <c r="AE46" s="362"/>
      <c r="AF46" s="362"/>
      <c r="AK46" s="376">
        <f>SUM(B46:H46)</f>
        <v>25000</v>
      </c>
      <c r="AL46" s="377">
        <f>AK46/AK45</f>
        <v>0.38461538461538464</v>
      </c>
      <c r="AM46" s="374"/>
    </row>
    <row r="47" spans="1:40" ht="25.5" customHeight="1" x14ac:dyDescent="0.2">
      <c r="A47" s="375" t="s">
        <v>518</v>
      </c>
      <c r="B47" s="631"/>
      <c r="C47" s="647">
        <v>30000</v>
      </c>
      <c r="D47" s="647"/>
      <c r="E47" s="647"/>
      <c r="F47" s="647"/>
      <c r="G47" s="647"/>
      <c r="H47" s="647"/>
      <c r="I47" s="990" t="s">
        <v>458</v>
      </c>
      <c r="J47" s="991"/>
      <c r="K47" s="991"/>
      <c r="L47" s="991"/>
      <c r="M47" s="640">
        <v>3</v>
      </c>
      <c r="N47" s="641"/>
      <c r="O47" s="641"/>
      <c r="P47" s="641"/>
      <c r="Q47" s="641"/>
      <c r="R47" s="642">
        <f t="shared" si="1"/>
        <v>0</v>
      </c>
      <c r="S47" s="642">
        <f t="shared" si="2"/>
        <v>0</v>
      </c>
      <c r="W47" s="362"/>
      <c r="X47" s="362"/>
      <c r="Y47" s="362"/>
      <c r="Z47" s="362"/>
      <c r="AA47" s="362"/>
      <c r="AB47" s="362"/>
      <c r="AC47" s="362"/>
      <c r="AD47" s="362"/>
      <c r="AE47" s="362"/>
      <c r="AF47" s="362"/>
      <c r="AK47" s="374" t="s">
        <v>479</v>
      </c>
      <c r="AL47" s="378">
        <f>MIN(AL46,5%)</f>
        <v>0.05</v>
      </c>
      <c r="AM47" s="379">
        <f>IFERROR(AL47/AL46,0)</f>
        <v>0.13</v>
      </c>
      <c r="AN47" s="352"/>
    </row>
    <row r="48" spans="1:40" x14ac:dyDescent="0.2">
      <c r="A48" s="78" t="s">
        <v>497</v>
      </c>
      <c r="B48" s="631"/>
      <c r="C48" s="647">
        <v>30000</v>
      </c>
      <c r="D48" s="647"/>
      <c r="E48" s="647"/>
      <c r="F48" s="647"/>
      <c r="G48" s="647"/>
      <c r="H48" s="647"/>
      <c r="M48" s="640">
        <v>4</v>
      </c>
      <c r="N48" s="641"/>
      <c r="O48" s="641"/>
      <c r="P48" s="641"/>
      <c r="Q48" s="641"/>
      <c r="R48" s="642">
        <f t="shared" si="1"/>
        <v>0</v>
      </c>
      <c r="S48" s="642">
        <f t="shared" si="2"/>
        <v>0</v>
      </c>
      <c r="W48" s="362"/>
      <c r="X48" s="362"/>
      <c r="Y48" s="362"/>
      <c r="Z48" s="362"/>
      <c r="AA48" s="362"/>
      <c r="AB48" s="362"/>
      <c r="AC48" s="362"/>
      <c r="AD48" s="362"/>
      <c r="AE48" s="362"/>
      <c r="AF48" s="362"/>
      <c r="AK48" s="374" t="s">
        <v>480</v>
      </c>
      <c r="AL48" s="377">
        <f>MAX(0,AL46-5%)</f>
        <v>0.33461538461538465</v>
      </c>
      <c r="AM48" s="379">
        <f>IFERROR(AL48/AL46,0)</f>
        <v>0.87</v>
      </c>
      <c r="AN48" s="352"/>
    </row>
    <row r="49" spans="1:40" x14ac:dyDescent="0.2">
      <c r="A49" s="78" t="s">
        <v>498</v>
      </c>
      <c r="B49" s="631"/>
      <c r="C49" s="647">
        <v>30000</v>
      </c>
      <c r="D49" s="647"/>
      <c r="E49" s="647"/>
      <c r="F49" s="647"/>
      <c r="G49" s="647"/>
      <c r="H49" s="647"/>
      <c r="M49" s="640">
        <v>5</v>
      </c>
      <c r="N49" s="641"/>
      <c r="O49" s="641"/>
      <c r="P49" s="641"/>
      <c r="Q49" s="641"/>
      <c r="R49" s="642">
        <f t="shared" si="1"/>
        <v>0</v>
      </c>
      <c r="S49" s="642">
        <f t="shared" si="2"/>
        <v>0</v>
      </c>
      <c r="W49" s="362"/>
      <c r="X49" s="362"/>
      <c r="Y49" s="362"/>
      <c r="Z49" s="362"/>
      <c r="AA49" s="362"/>
      <c r="AB49" s="362"/>
      <c r="AC49" s="362"/>
      <c r="AD49" s="362"/>
      <c r="AE49" s="362"/>
      <c r="AF49" s="362"/>
      <c r="AK49" s="374"/>
      <c r="AL49" s="377"/>
      <c r="AM49" s="374"/>
    </row>
    <row r="50" spans="1:40" ht="25.5" x14ac:dyDescent="0.2">
      <c r="A50" s="78" t="s">
        <v>598</v>
      </c>
      <c r="B50" s="631"/>
      <c r="C50" s="647">
        <v>1750</v>
      </c>
      <c r="D50" s="647"/>
      <c r="E50" s="647"/>
      <c r="F50" s="647"/>
      <c r="G50" s="647"/>
      <c r="H50" s="647"/>
      <c r="M50" s="640">
        <v>6</v>
      </c>
      <c r="N50" s="641"/>
      <c r="O50" s="641"/>
      <c r="P50" s="641"/>
      <c r="Q50" s="641"/>
      <c r="R50" s="642">
        <f t="shared" si="1"/>
        <v>0</v>
      </c>
      <c r="S50" s="642">
        <f t="shared" si="2"/>
        <v>0</v>
      </c>
      <c r="W50" s="362"/>
      <c r="X50" s="362"/>
      <c r="Y50" s="362"/>
      <c r="Z50" s="362"/>
      <c r="AA50" s="362"/>
      <c r="AB50" s="362"/>
      <c r="AC50" s="362"/>
      <c r="AD50" s="362"/>
      <c r="AE50" s="362"/>
      <c r="AF50" s="362"/>
      <c r="AK50" s="376">
        <f>SUM(B50:H50)</f>
        <v>1750</v>
      </c>
      <c r="AL50" s="377">
        <f>AK50/(AK45+SUM(B46:H46))</f>
        <v>1.9444444444444445E-2</v>
      </c>
      <c r="AM50" s="374"/>
    </row>
    <row r="51" spans="1:40" ht="25.5" x14ac:dyDescent="0.2">
      <c r="A51" s="78" t="s">
        <v>499</v>
      </c>
      <c r="B51" s="631"/>
      <c r="C51" s="647">
        <v>30000</v>
      </c>
      <c r="D51" s="647"/>
      <c r="E51" s="647"/>
      <c r="F51" s="647"/>
      <c r="G51" s="647"/>
      <c r="H51" s="647"/>
      <c r="M51" s="640">
        <v>7</v>
      </c>
      <c r="N51" s="641"/>
      <c r="O51" s="641"/>
      <c r="P51" s="641"/>
      <c r="Q51" s="641"/>
      <c r="R51" s="642">
        <f t="shared" si="1"/>
        <v>0</v>
      </c>
      <c r="S51" s="642">
        <f t="shared" si="2"/>
        <v>0</v>
      </c>
      <c r="W51" s="362"/>
      <c r="X51" s="362"/>
      <c r="Y51" s="362"/>
      <c r="Z51" s="362"/>
      <c r="AA51" s="362"/>
      <c r="AB51" s="362"/>
      <c r="AC51" s="362"/>
      <c r="AD51" s="362"/>
      <c r="AE51" s="362"/>
      <c r="AF51" s="362"/>
      <c r="AK51" s="374" t="s">
        <v>479</v>
      </c>
      <c r="AL51" s="378">
        <f>MIN(AL50,7%)</f>
        <v>1.9444444444444445E-2</v>
      </c>
      <c r="AM51" s="379">
        <f>IFERROR(AL51/AL50,0)</f>
        <v>1</v>
      </c>
      <c r="AN51" s="352"/>
    </row>
    <row r="52" spans="1:40" ht="25.5" x14ac:dyDescent="0.2">
      <c r="A52" s="78" t="s">
        <v>520</v>
      </c>
      <c r="B52" s="631"/>
      <c r="C52" s="647">
        <v>30000</v>
      </c>
      <c r="D52" s="647"/>
      <c r="E52" s="647"/>
      <c r="F52" s="647"/>
      <c r="G52" s="647"/>
      <c r="H52" s="647"/>
      <c r="M52" s="640">
        <v>8</v>
      </c>
      <c r="N52" s="641"/>
      <c r="O52" s="641"/>
      <c r="P52" s="641"/>
      <c r="Q52" s="641"/>
      <c r="R52" s="642">
        <f t="shared" si="1"/>
        <v>0</v>
      </c>
      <c r="S52" s="642">
        <f t="shared" si="2"/>
        <v>0</v>
      </c>
      <c r="W52" s="362"/>
      <c r="X52" s="362"/>
      <c r="Y52" s="362"/>
      <c r="Z52" s="362"/>
      <c r="AA52" s="362"/>
      <c r="AB52" s="362"/>
      <c r="AC52" s="362"/>
      <c r="AD52" s="362"/>
      <c r="AE52" s="362"/>
      <c r="AF52" s="362"/>
      <c r="AK52" s="374" t="s">
        <v>480</v>
      </c>
      <c r="AL52" s="377">
        <f>MAX(0,AL50-7%)</f>
        <v>0</v>
      </c>
      <c r="AM52" s="379">
        <f>IFERROR(AL52/AL50,0)</f>
        <v>0</v>
      </c>
    </row>
    <row r="53" spans="1:40" x14ac:dyDescent="0.2">
      <c r="A53" s="78" t="s">
        <v>500</v>
      </c>
      <c r="B53" s="631"/>
      <c r="C53" s="647">
        <v>5000</v>
      </c>
      <c r="D53" s="647"/>
      <c r="E53" s="647"/>
      <c r="F53" s="647"/>
      <c r="G53" s="647"/>
      <c r="H53" s="647"/>
      <c r="M53" s="640">
        <v>9</v>
      </c>
      <c r="N53" s="641"/>
      <c r="O53" s="641"/>
      <c r="P53" s="641"/>
      <c r="Q53" s="641"/>
      <c r="R53" s="642">
        <f t="shared" si="1"/>
        <v>0</v>
      </c>
      <c r="S53" s="642">
        <f t="shared" si="2"/>
        <v>0</v>
      </c>
      <c r="W53" s="362"/>
      <c r="X53" s="362"/>
      <c r="Y53" s="362"/>
      <c r="Z53" s="362"/>
      <c r="AA53" s="362"/>
      <c r="AB53" s="362"/>
      <c r="AC53" s="362"/>
      <c r="AD53" s="362"/>
      <c r="AE53" s="362"/>
      <c r="AF53" s="362"/>
    </row>
    <row r="54" spans="1:40" x14ac:dyDescent="0.2">
      <c r="A54" s="78" t="s">
        <v>501</v>
      </c>
      <c r="B54" s="631"/>
      <c r="C54" s="647">
        <v>30000</v>
      </c>
      <c r="D54" s="647"/>
      <c r="E54" s="647"/>
      <c r="F54" s="647"/>
      <c r="G54" s="647"/>
      <c r="H54" s="647"/>
      <c r="M54" s="640">
        <v>10</v>
      </c>
      <c r="N54" s="641"/>
      <c r="O54" s="641"/>
      <c r="P54" s="641"/>
      <c r="Q54" s="641"/>
      <c r="R54" s="642">
        <f t="shared" si="1"/>
        <v>0</v>
      </c>
      <c r="S54" s="642">
        <f t="shared" si="2"/>
        <v>0</v>
      </c>
      <c r="W54" s="362"/>
      <c r="X54" s="362"/>
      <c r="Y54" s="362"/>
      <c r="Z54" s="362"/>
      <c r="AA54" s="362"/>
      <c r="AB54" s="362"/>
      <c r="AC54" s="362"/>
      <c r="AD54" s="362"/>
      <c r="AE54" s="362"/>
      <c r="AF54" s="362"/>
    </row>
    <row r="55" spans="1:40" x14ac:dyDescent="0.2">
      <c r="A55" s="78" t="s">
        <v>517</v>
      </c>
      <c r="B55" s="631"/>
      <c r="C55" s="648"/>
      <c r="D55" s="647"/>
      <c r="E55" s="647"/>
      <c r="F55" s="647"/>
      <c r="G55" s="647"/>
      <c r="H55" s="647"/>
      <c r="M55" s="639" t="s">
        <v>44</v>
      </c>
      <c r="N55" s="643">
        <f>SUM(N45:N54)</f>
        <v>65000</v>
      </c>
      <c r="O55" s="643">
        <f t="shared" ref="O55:S55" si="3">SUM(O45:O54)</f>
        <v>25000</v>
      </c>
      <c r="P55" s="643">
        <f t="shared" si="3"/>
        <v>1750</v>
      </c>
      <c r="Q55" s="643">
        <f t="shared" si="3"/>
        <v>30000</v>
      </c>
      <c r="R55" s="643">
        <f t="shared" si="3"/>
        <v>3250</v>
      </c>
      <c r="S55" s="643">
        <f t="shared" si="3"/>
        <v>1750</v>
      </c>
      <c r="W55" s="362"/>
      <c r="X55" s="362"/>
      <c r="Y55" s="362"/>
      <c r="Z55" s="362"/>
      <c r="AA55" s="362"/>
      <c r="AB55" s="362"/>
      <c r="AC55" s="362"/>
      <c r="AD55" s="362"/>
      <c r="AE55" s="362"/>
      <c r="AF55" s="362"/>
    </row>
    <row r="56" spans="1:40" x14ac:dyDescent="0.2">
      <c r="A56" s="992" t="s">
        <v>482</v>
      </c>
      <c r="B56" s="993"/>
      <c r="C56" s="993"/>
      <c r="D56" s="993"/>
      <c r="E56" s="993"/>
      <c r="F56" s="993"/>
      <c r="G56" s="993"/>
      <c r="H56" s="994"/>
      <c r="N56" s="374" t="b">
        <f>IF(N55=SUM(C45:H45), TRUE, FALSE)</f>
        <v>1</v>
      </c>
      <c r="O56" s="374" t="b">
        <f>IF(O55=SUM(C46:H46), TRUE, FALSE)</f>
        <v>1</v>
      </c>
      <c r="P56" s="374" t="b">
        <f>IF(P55=SUM(C50:H50), TRUE, FALSE)</f>
        <v>1</v>
      </c>
      <c r="Q56" s="374" t="b">
        <f>IF(Q55=SUM(C48:H48), TRUE, FALSE)</f>
        <v>1</v>
      </c>
      <c r="R56" s="374"/>
      <c r="W56" s="362"/>
      <c r="X56" s="362"/>
      <c r="Y56" s="362"/>
      <c r="Z56" s="362"/>
      <c r="AA56" s="362"/>
      <c r="AB56" s="362"/>
      <c r="AC56" s="362"/>
      <c r="AD56" s="362"/>
      <c r="AE56" s="362"/>
      <c r="AF56" s="362"/>
    </row>
    <row r="57" spans="1:40" x14ac:dyDescent="0.2">
      <c r="B57" s="72">
        <f>B44</f>
        <v>2019</v>
      </c>
      <c r="C57" s="72">
        <f t="shared" ref="C57:H57" si="4">B57+1</f>
        <v>2020</v>
      </c>
      <c r="D57" s="72">
        <f t="shared" si="4"/>
        <v>2021</v>
      </c>
      <c r="E57" s="72">
        <f t="shared" si="4"/>
        <v>2022</v>
      </c>
      <c r="F57" s="72">
        <f t="shared" si="4"/>
        <v>2023</v>
      </c>
      <c r="G57" s="72">
        <f t="shared" si="4"/>
        <v>2024</v>
      </c>
      <c r="H57" s="72">
        <f t="shared" si="4"/>
        <v>2025</v>
      </c>
      <c r="R57" s="352"/>
      <c r="S57" s="352"/>
      <c r="W57" s="362"/>
      <c r="X57" s="362"/>
      <c r="Y57" s="362"/>
      <c r="Z57" s="362"/>
      <c r="AA57" s="362"/>
      <c r="AB57" s="362"/>
      <c r="AC57" s="362"/>
      <c r="AD57" s="362"/>
      <c r="AE57" s="362"/>
      <c r="AF57" s="362"/>
    </row>
    <row r="58" spans="1:40" x14ac:dyDescent="0.2">
      <c r="A58" s="375" t="str">
        <f>A45</f>
        <v>Jaunu KAIT būvdarbu izmaksas (MK noteikumu 25.2.punkts)</v>
      </c>
      <c r="B58" s="628"/>
      <c r="C58" s="649">
        <f>C45*'Kopējie pieņēmumi'!F$12</f>
        <v>30600</v>
      </c>
      <c r="D58" s="649">
        <f>D45*'Kopējie pieņēmumi'!G$12</f>
        <v>36400</v>
      </c>
      <c r="E58" s="649">
        <f>E45*'Kopējie pieņēmumi'!H$12</f>
        <v>0</v>
      </c>
      <c r="F58" s="649">
        <f>F45*'Kopējie pieņēmumi'!I$12</f>
        <v>0</v>
      </c>
      <c r="G58" s="649">
        <f>G45*'Kopējie pieņēmumi'!J$12</f>
        <v>0</v>
      </c>
      <c r="H58" s="649">
        <f>H45*'Kopējie pieņēmumi'!K$12</f>
        <v>0</v>
      </c>
      <c r="R58" s="352"/>
      <c r="S58" s="352"/>
      <c r="W58" s="362"/>
      <c r="X58" s="362"/>
      <c r="Y58" s="362"/>
      <c r="Z58" s="362"/>
      <c r="AA58" s="362"/>
      <c r="AB58" s="362"/>
      <c r="AC58" s="362"/>
      <c r="AD58" s="362"/>
      <c r="AE58" s="362"/>
      <c r="AF58" s="362"/>
    </row>
    <row r="59" spans="1:40" ht="25.5" x14ac:dyDescent="0.2">
      <c r="A59" s="375" t="s">
        <v>504</v>
      </c>
      <c r="B59" s="628"/>
      <c r="C59" s="649">
        <f>C46*$AM$47*'Kopējie pieņēmumi'!F$12</f>
        <v>3315</v>
      </c>
      <c r="D59" s="649">
        <f>D46*$AM$47*'Kopējie pieņēmumi'!G$12</f>
        <v>0</v>
      </c>
      <c r="E59" s="649">
        <f>E46*$AM$47*'Kopējie pieņēmumi'!H$12</f>
        <v>0</v>
      </c>
      <c r="F59" s="649">
        <f>F46*$AM$47*'Kopējie pieņēmumi'!I$12</f>
        <v>0</v>
      </c>
      <c r="G59" s="649">
        <f>G46*$AM$47*'Kopējie pieņēmumi'!J$12</f>
        <v>0</v>
      </c>
      <c r="H59" s="649">
        <f>H46*$AM$47*'Kopējie pieņēmumi'!K$12</f>
        <v>0</v>
      </c>
      <c r="W59" s="362"/>
      <c r="X59" s="362"/>
      <c r="Y59" s="362"/>
      <c r="Z59" s="362"/>
      <c r="AA59" s="362"/>
      <c r="AB59" s="362"/>
      <c r="AC59" s="362"/>
      <c r="AD59" s="362"/>
      <c r="AE59" s="362"/>
      <c r="AF59" s="362"/>
    </row>
    <row r="60" spans="1:40" ht="40.5" customHeight="1" x14ac:dyDescent="0.2">
      <c r="A60" s="375" t="s">
        <v>599</v>
      </c>
      <c r="B60" s="628"/>
      <c r="C60" s="649">
        <f>C50*$AM$51*'Kopējie pieņēmumi'!F$12</f>
        <v>1785</v>
      </c>
      <c r="D60" s="649">
        <f>D50*$AM$51*'Kopējie pieņēmumi'!G$12</f>
        <v>0</v>
      </c>
      <c r="E60" s="649">
        <f>E50*$AM$51*'Kopējie pieņēmumi'!H$12</f>
        <v>0</v>
      </c>
      <c r="F60" s="649">
        <f>F50*$AM$51*'Kopējie pieņēmumi'!I$12</f>
        <v>0</v>
      </c>
      <c r="G60" s="649">
        <f>G50*$AM$51*'Kopējie pieņēmumi'!J$12</f>
        <v>0</v>
      </c>
      <c r="H60" s="649">
        <f>H50*$AM$51*'Kopējie pieņēmumi'!K$12</f>
        <v>0</v>
      </c>
      <c r="W60" s="362"/>
      <c r="X60" s="362"/>
      <c r="Y60" s="362"/>
      <c r="Z60" s="362"/>
      <c r="AA60" s="362"/>
      <c r="AB60" s="362"/>
      <c r="AC60" s="362"/>
      <c r="AD60" s="362"/>
      <c r="AE60" s="362"/>
      <c r="AF60" s="362"/>
    </row>
    <row r="61" spans="1:40" x14ac:dyDescent="0.2">
      <c r="A61" s="78" t="s">
        <v>500</v>
      </c>
      <c r="B61" s="628"/>
      <c r="C61" s="649">
        <f>C53*'Kopējie pieņēmumi'!F$12</f>
        <v>5100</v>
      </c>
      <c r="D61" s="649">
        <f>D53*'Kopējie pieņēmumi'!G$12</f>
        <v>0</v>
      </c>
      <c r="E61" s="649">
        <f>E53*'Kopējie pieņēmumi'!H$12</f>
        <v>0</v>
      </c>
      <c r="F61" s="649">
        <f>F53*'Kopējie pieņēmumi'!I$12</f>
        <v>0</v>
      </c>
      <c r="G61" s="649">
        <f>G53*'Kopējie pieņēmumi'!J$12</f>
        <v>0</v>
      </c>
      <c r="H61" s="649">
        <f>H53*'Kopējie pieņēmumi'!K$12</f>
        <v>0</v>
      </c>
      <c r="W61" s="362"/>
      <c r="X61" s="362"/>
      <c r="Y61" s="362"/>
      <c r="Z61" s="362"/>
      <c r="AA61" s="362"/>
      <c r="AB61" s="362"/>
      <c r="AC61" s="362"/>
      <c r="AD61" s="362"/>
      <c r="AE61" s="362"/>
      <c r="AF61" s="362"/>
    </row>
    <row r="62" spans="1:40" x14ac:dyDescent="0.2">
      <c r="A62" s="78" t="s">
        <v>502</v>
      </c>
      <c r="B62" s="628"/>
      <c r="C62" s="649">
        <f>C55*'Kopējie pieņēmumi'!F$12</f>
        <v>0</v>
      </c>
      <c r="D62" s="649">
        <f>D55*'Kopējie pieņēmumi'!G$12</f>
        <v>0</v>
      </c>
      <c r="E62" s="649">
        <f>E55*'Kopējie pieņēmumi'!H$12</f>
        <v>0</v>
      </c>
      <c r="F62" s="649">
        <f>F55*'Kopējie pieņēmumi'!I$12</f>
        <v>0</v>
      </c>
      <c r="G62" s="649">
        <f>G55*'Kopējie pieņēmumi'!J$12</f>
        <v>0</v>
      </c>
      <c r="H62" s="649">
        <f>H55*'Kopējie pieņēmumi'!K$12</f>
        <v>0</v>
      </c>
      <c r="W62" s="362"/>
      <c r="X62" s="362"/>
      <c r="Y62" s="362"/>
      <c r="Z62" s="362"/>
      <c r="AA62" s="362"/>
      <c r="AB62" s="362"/>
      <c r="AC62" s="362"/>
      <c r="AD62" s="362"/>
      <c r="AE62" s="362"/>
      <c r="AF62" s="362"/>
    </row>
    <row r="63" spans="1:40" x14ac:dyDescent="0.2">
      <c r="A63" s="380" t="s">
        <v>462</v>
      </c>
      <c r="B63" s="628"/>
      <c r="C63" s="649">
        <f t="shared" ref="C63:H63" si="5">SUM(C58:C62)</f>
        <v>40800</v>
      </c>
      <c r="D63" s="649">
        <f t="shared" si="5"/>
        <v>36400</v>
      </c>
      <c r="E63" s="649">
        <f t="shared" si="5"/>
        <v>0</v>
      </c>
      <c r="F63" s="649">
        <f t="shared" si="5"/>
        <v>0</v>
      </c>
      <c r="G63" s="649">
        <f t="shared" si="5"/>
        <v>0</v>
      </c>
      <c r="H63" s="649">
        <f t="shared" si="5"/>
        <v>0</v>
      </c>
      <c r="W63" s="362"/>
      <c r="X63" s="362"/>
      <c r="Y63" s="362"/>
      <c r="Z63" s="362"/>
      <c r="AA63" s="362"/>
      <c r="AB63" s="362"/>
      <c r="AC63" s="362"/>
      <c r="AD63" s="362"/>
      <c r="AE63" s="362"/>
      <c r="AF63" s="362"/>
    </row>
    <row r="64" spans="1:40" x14ac:dyDescent="0.2">
      <c r="A64" s="992" t="s">
        <v>483</v>
      </c>
      <c r="B64" s="993"/>
      <c r="C64" s="993"/>
      <c r="D64" s="993"/>
      <c r="E64" s="993"/>
      <c r="F64" s="993"/>
      <c r="G64" s="993"/>
      <c r="H64" s="994"/>
      <c r="W64" s="362"/>
      <c r="X64" s="362"/>
      <c r="Y64" s="362"/>
      <c r="Z64" s="362"/>
      <c r="AA64" s="362"/>
      <c r="AB64" s="362"/>
      <c r="AC64" s="362"/>
      <c r="AD64" s="362"/>
      <c r="AE64" s="362"/>
      <c r="AF64" s="362"/>
    </row>
    <row r="65" spans="1:32" ht="25.5" x14ac:dyDescent="0.2">
      <c r="A65" s="375" t="s">
        <v>505</v>
      </c>
      <c r="B65" s="628"/>
      <c r="C65" s="649">
        <f>C46*'Kopējie pieņēmumi'!F$12-C59</f>
        <v>22185</v>
      </c>
      <c r="D65" s="649">
        <f>D46*'Kopējie pieņēmumi'!G$12-D59</f>
        <v>0</v>
      </c>
      <c r="E65" s="649">
        <f>E46*'Kopējie pieņēmumi'!H$12-E59</f>
        <v>0</v>
      </c>
      <c r="F65" s="649">
        <f>F46*'Kopējie pieņēmumi'!I$12-F59</f>
        <v>0</v>
      </c>
      <c r="G65" s="649">
        <f>G46*'Kopējie pieņēmumi'!J$12-G59</f>
        <v>0</v>
      </c>
      <c r="H65" s="649">
        <f>H46*'Kopējie pieņēmumi'!K$12-H59</f>
        <v>0</v>
      </c>
      <c r="W65" s="362"/>
      <c r="X65" s="362"/>
      <c r="Y65" s="362"/>
      <c r="Z65" s="362"/>
      <c r="AA65" s="362"/>
      <c r="AB65" s="362"/>
      <c r="AC65" s="362"/>
      <c r="AD65" s="362"/>
      <c r="AE65" s="362"/>
      <c r="AF65" s="362"/>
    </row>
    <row r="66" spans="1:32" ht="52.5" customHeight="1" x14ac:dyDescent="0.2">
      <c r="A66" s="375" t="s">
        <v>600</v>
      </c>
      <c r="B66" s="628"/>
      <c r="C66" s="649">
        <f>C50*'Kopējie pieņēmumi'!F$12-C60</f>
        <v>0</v>
      </c>
      <c r="D66" s="649">
        <f>D50*'Kopējie pieņēmumi'!G$12-D60</f>
        <v>0</v>
      </c>
      <c r="E66" s="649">
        <f>E50*'Kopējie pieņēmumi'!H$12-E60</f>
        <v>0</v>
      </c>
      <c r="F66" s="649">
        <f>F50*'Kopējie pieņēmumi'!I$12-F60</f>
        <v>0</v>
      </c>
      <c r="G66" s="649">
        <f>G50*'Kopējie pieņēmumi'!J$12-G60</f>
        <v>0</v>
      </c>
      <c r="H66" s="649">
        <f>H50*'Kopējie pieņēmumi'!K$12-H60</f>
        <v>0</v>
      </c>
      <c r="W66" s="362"/>
      <c r="X66" s="362"/>
      <c r="Y66" s="362"/>
      <c r="Z66" s="362"/>
      <c r="AA66" s="362"/>
      <c r="AB66" s="362"/>
      <c r="AC66" s="362"/>
      <c r="AD66" s="362"/>
      <c r="AE66" s="362"/>
      <c r="AF66" s="362"/>
    </row>
    <row r="67" spans="1:32" x14ac:dyDescent="0.2">
      <c r="A67" s="78" t="s">
        <v>519</v>
      </c>
      <c r="B67" s="628"/>
      <c r="C67" s="649">
        <f>C47*'Kopējie pieņēmumi'!F$12</f>
        <v>30600</v>
      </c>
      <c r="D67" s="649">
        <f>D47*'Kopējie pieņēmumi'!G$12</f>
        <v>0</v>
      </c>
      <c r="E67" s="649">
        <f>E47*'Kopējie pieņēmumi'!H$12</f>
        <v>0</v>
      </c>
      <c r="F67" s="649">
        <f>F47*'Kopējie pieņēmumi'!I$12</f>
        <v>0</v>
      </c>
      <c r="G67" s="649">
        <f>G47*'Kopējie pieņēmumi'!J$12</f>
        <v>0</v>
      </c>
      <c r="H67" s="649">
        <f>H47*'Kopējie pieņēmumi'!K$12</f>
        <v>0</v>
      </c>
      <c r="W67" s="362"/>
      <c r="X67" s="362"/>
      <c r="Y67" s="362"/>
      <c r="Z67" s="362"/>
      <c r="AA67" s="362"/>
      <c r="AB67" s="362"/>
      <c r="AC67" s="362"/>
      <c r="AD67" s="362"/>
      <c r="AE67" s="362"/>
      <c r="AF67" s="362"/>
    </row>
    <row r="68" spans="1:32" ht="25.5" x14ac:dyDescent="0.2">
      <c r="A68" s="78" t="s">
        <v>520</v>
      </c>
      <c r="B68" s="628"/>
      <c r="C68" s="649">
        <f>C52*'Kopējie pieņēmumi'!F$12</f>
        <v>30600</v>
      </c>
      <c r="D68" s="649">
        <f>D52*'Kopējie pieņēmumi'!G$12</f>
        <v>0</v>
      </c>
      <c r="E68" s="649">
        <f>E52*'Kopējie pieņēmumi'!H$12</f>
        <v>0</v>
      </c>
      <c r="F68" s="649">
        <f>F52*'Kopējie pieņēmumi'!I$12</f>
        <v>0</v>
      </c>
      <c r="G68" s="649">
        <f>G52*'Kopējie pieņēmumi'!J$12</f>
        <v>0</v>
      </c>
      <c r="H68" s="649">
        <f>H52*'Kopējie pieņēmumi'!K$12</f>
        <v>0</v>
      </c>
      <c r="W68" s="362"/>
      <c r="X68" s="362"/>
      <c r="Y68" s="362"/>
      <c r="Z68" s="362"/>
      <c r="AA68" s="362"/>
      <c r="AB68" s="362"/>
      <c r="AC68" s="362"/>
      <c r="AD68" s="362"/>
      <c r="AE68" s="362"/>
      <c r="AF68" s="362"/>
    </row>
    <row r="69" spans="1:32" ht="25.5" x14ac:dyDescent="0.2">
      <c r="A69" s="78" t="s">
        <v>499</v>
      </c>
      <c r="B69" s="628"/>
      <c r="C69" s="649">
        <f>C51*'Kopējie pieņēmumi'!F$12</f>
        <v>30600</v>
      </c>
      <c r="D69" s="649">
        <f>D51*'Kopējie pieņēmumi'!G$12</f>
        <v>0</v>
      </c>
      <c r="E69" s="649">
        <f>E51*'Kopējie pieņēmumi'!H$12</f>
        <v>0</v>
      </c>
      <c r="F69" s="649">
        <f>F51*'Kopējie pieņēmumi'!I$12</f>
        <v>0</v>
      </c>
      <c r="G69" s="649">
        <f>G51*'Kopējie pieņēmumi'!J$12</f>
        <v>0</v>
      </c>
      <c r="H69" s="649">
        <f>H51*'Kopējie pieņēmumi'!K$12</f>
        <v>0</v>
      </c>
      <c r="W69" s="362"/>
      <c r="X69" s="362"/>
      <c r="Y69" s="362"/>
      <c r="Z69" s="362"/>
      <c r="AA69" s="362"/>
      <c r="AB69" s="362"/>
      <c r="AC69" s="362"/>
      <c r="AD69" s="362"/>
      <c r="AE69" s="362"/>
      <c r="AF69" s="362"/>
    </row>
    <row r="70" spans="1:32" ht="15" customHeight="1" x14ac:dyDescent="0.2">
      <c r="A70" s="78" t="s">
        <v>497</v>
      </c>
      <c r="B70" s="628"/>
      <c r="C70" s="649">
        <f>C48*'Kopējie pieņēmumi'!F$12</f>
        <v>30600</v>
      </c>
      <c r="D70" s="649">
        <f>D48*'Kopējie pieņēmumi'!G$12</f>
        <v>0</v>
      </c>
      <c r="E70" s="649">
        <f>E48*'Kopējie pieņēmumi'!H$12</f>
        <v>0</v>
      </c>
      <c r="F70" s="649">
        <f>F48*'Kopējie pieņēmumi'!I$12</f>
        <v>0</v>
      </c>
      <c r="G70" s="649">
        <f>G48*'Kopējie pieņēmumi'!J$12</f>
        <v>0</v>
      </c>
      <c r="H70" s="649">
        <f>H48*'Kopējie pieņēmumi'!K$12</f>
        <v>0</v>
      </c>
      <c r="W70" s="362"/>
      <c r="X70" s="362"/>
      <c r="Y70" s="362"/>
      <c r="Z70" s="362"/>
      <c r="AA70" s="362"/>
      <c r="AB70" s="362"/>
      <c r="AC70" s="362"/>
      <c r="AD70" s="362"/>
      <c r="AE70" s="362"/>
      <c r="AF70" s="362"/>
    </row>
    <row r="71" spans="1:32" ht="17.25" customHeight="1" x14ac:dyDescent="0.2">
      <c r="A71" s="78" t="s">
        <v>498</v>
      </c>
      <c r="B71" s="628"/>
      <c r="C71" s="649">
        <f>C49*'Kopējie pieņēmumi'!F$12</f>
        <v>30600</v>
      </c>
      <c r="D71" s="649">
        <f>D49*'Kopējie pieņēmumi'!G$12</f>
        <v>0</v>
      </c>
      <c r="E71" s="649">
        <f>E49*'Kopējie pieņēmumi'!H$12</f>
        <v>0</v>
      </c>
      <c r="F71" s="649">
        <f>F49*'Kopējie pieņēmumi'!I$12</f>
        <v>0</v>
      </c>
      <c r="G71" s="649">
        <f>G49*'Kopējie pieņēmumi'!J$12</f>
        <v>0</v>
      </c>
      <c r="H71" s="649">
        <f>H49*'Kopējie pieņēmumi'!K$12</f>
        <v>0</v>
      </c>
      <c r="W71" s="362"/>
      <c r="X71" s="362"/>
      <c r="Y71" s="362"/>
      <c r="Z71" s="362"/>
      <c r="AA71" s="362"/>
      <c r="AB71" s="362"/>
      <c r="AC71" s="362"/>
      <c r="AD71" s="362"/>
      <c r="AE71" s="362"/>
      <c r="AF71" s="362"/>
    </row>
    <row r="72" spans="1:32" x14ac:dyDescent="0.2">
      <c r="A72" s="78" t="s">
        <v>501</v>
      </c>
      <c r="B72" s="628"/>
      <c r="C72" s="649">
        <f>C54*'Kopējie pieņēmumi'!F$12</f>
        <v>30600</v>
      </c>
      <c r="D72" s="649">
        <f>D54*'Kopējie pieņēmumi'!G$12</f>
        <v>0</v>
      </c>
      <c r="E72" s="649">
        <f>E54*'Kopējie pieņēmumi'!H$12</f>
        <v>0</v>
      </c>
      <c r="F72" s="649">
        <f>F54*'Kopējie pieņēmumi'!I$12</f>
        <v>0</v>
      </c>
      <c r="G72" s="649">
        <f>G54*'Kopējie pieņēmumi'!J$12</f>
        <v>0</v>
      </c>
      <c r="H72" s="649">
        <f>H54*'Kopējie pieņēmumi'!K$12</f>
        <v>0</v>
      </c>
      <c r="W72" s="362"/>
      <c r="X72" s="362"/>
      <c r="Y72" s="362"/>
      <c r="Z72" s="362"/>
      <c r="AA72" s="362"/>
      <c r="AB72" s="362"/>
      <c r="AC72" s="362"/>
      <c r="AD72" s="362"/>
      <c r="AE72" s="362"/>
      <c r="AF72" s="362"/>
    </row>
    <row r="73" spans="1:32" x14ac:dyDescent="0.2">
      <c r="A73" s="78" t="s">
        <v>503</v>
      </c>
      <c r="B73" s="628"/>
      <c r="C73" s="649">
        <f t="shared" ref="C73:H73" si="6">SUM(C58:C61,C65:C72)*0.21-C62</f>
        <v>51782.85</v>
      </c>
      <c r="D73" s="649">
        <f t="shared" si="6"/>
        <v>7644</v>
      </c>
      <c r="E73" s="649">
        <f t="shared" si="6"/>
        <v>0</v>
      </c>
      <c r="F73" s="649">
        <f t="shared" si="6"/>
        <v>0</v>
      </c>
      <c r="G73" s="649">
        <f t="shared" si="6"/>
        <v>0</v>
      </c>
      <c r="H73" s="649">
        <f t="shared" si="6"/>
        <v>0</v>
      </c>
      <c r="W73" s="362"/>
      <c r="X73" s="362"/>
      <c r="Y73" s="362"/>
      <c r="Z73" s="362"/>
      <c r="AA73" s="362"/>
      <c r="AB73" s="362"/>
      <c r="AC73" s="362"/>
      <c r="AD73" s="362"/>
      <c r="AE73" s="362"/>
      <c r="AF73" s="362"/>
    </row>
    <row r="74" spans="1:32" x14ac:dyDescent="0.2">
      <c r="A74" s="78" t="s">
        <v>463</v>
      </c>
      <c r="B74" s="628"/>
      <c r="C74" s="649">
        <f t="shared" ref="C74:H74" si="7">SUM(C65:C73)</f>
        <v>257567.85</v>
      </c>
      <c r="D74" s="649">
        <f t="shared" si="7"/>
        <v>7644</v>
      </c>
      <c r="E74" s="649">
        <f t="shared" si="7"/>
        <v>0</v>
      </c>
      <c r="F74" s="649">
        <f t="shared" si="7"/>
        <v>0</v>
      </c>
      <c r="G74" s="649">
        <f t="shared" si="7"/>
        <v>0</v>
      </c>
      <c r="H74" s="649">
        <f t="shared" si="7"/>
        <v>0</v>
      </c>
      <c r="W74" s="362"/>
      <c r="X74" s="362"/>
      <c r="Y74" s="362"/>
      <c r="Z74" s="362"/>
      <c r="AA74" s="362"/>
      <c r="AB74" s="362"/>
      <c r="AC74" s="362"/>
      <c r="AD74" s="362"/>
      <c r="AE74" s="362"/>
      <c r="AF74" s="362"/>
    </row>
    <row r="75" spans="1:32" x14ac:dyDescent="0.2">
      <c r="B75" s="366"/>
      <c r="C75" s="366"/>
      <c r="D75" s="366"/>
      <c r="E75" s="366"/>
      <c r="F75" s="366"/>
      <c r="W75" s="362"/>
      <c r="X75" s="362"/>
      <c r="Y75" s="362"/>
      <c r="Z75" s="362"/>
      <c r="AA75" s="362"/>
      <c r="AB75" s="362"/>
      <c r="AC75" s="362"/>
      <c r="AD75" s="362"/>
      <c r="AE75" s="362"/>
      <c r="AF75" s="362"/>
    </row>
    <row r="76" spans="1:32" x14ac:dyDescent="0.2">
      <c r="A76" s="989" t="s">
        <v>355</v>
      </c>
      <c r="B76" s="989"/>
      <c r="C76" s="989"/>
      <c r="D76" s="989"/>
      <c r="E76" s="989"/>
      <c r="F76" s="989"/>
      <c r="G76" s="989"/>
      <c r="H76" s="989"/>
      <c r="I76" s="989"/>
      <c r="W76" s="362"/>
      <c r="X76" s="362"/>
      <c r="Y76" s="362"/>
      <c r="Z76" s="362"/>
      <c r="AA76" s="362"/>
      <c r="AB76" s="362"/>
      <c r="AC76" s="362"/>
      <c r="AD76" s="362"/>
      <c r="AE76" s="362"/>
      <c r="AF76" s="362"/>
    </row>
    <row r="77" spans="1:32" x14ac:dyDescent="0.2">
      <c r="A77" s="361"/>
      <c r="B77" s="381"/>
      <c r="C77" s="381"/>
      <c r="D77" s="381"/>
      <c r="E77" s="381"/>
      <c r="F77" s="381"/>
      <c r="G77" s="381"/>
      <c r="H77" s="381"/>
      <c r="I77" s="381"/>
      <c r="W77" s="362"/>
      <c r="X77" s="362"/>
      <c r="Y77" s="362"/>
      <c r="Z77" s="362"/>
      <c r="AA77" s="362"/>
      <c r="AB77" s="362"/>
      <c r="AC77" s="362"/>
      <c r="AD77" s="362"/>
      <c r="AE77" s="362"/>
      <c r="AF77" s="362"/>
    </row>
    <row r="78" spans="1:32" x14ac:dyDescent="0.2">
      <c r="B78" s="72">
        <f>B57</f>
        <v>2019</v>
      </c>
      <c r="C78" s="72">
        <f t="shared" ref="C78:H78" si="8">B78+1</f>
        <v>2020</v>
      </c>
      <c r="D78" s="72">
        <f t="shared" si="8"/>
        <v>2021</v>
      </c>
      <c r="E78" s="72">
        <f t="shared" si="8"/>
        <v>2022</v>
      </c>
      <c r="F78" s="72">
        <f t="shared" si="8"/>
        <v>2023</v>
      </c>
      <c r="G78" s="72">
        <f t="shared" si="8"/>
        <v>2024</v>
      </c>
      <c r="H78" s="72">
        <f t="shared" si="8"/>
        <v>2025</v>
      </c>
      <c r="W78" s="362"/>
      <c r="X78" s="362"/>
      <c r="Y78" s="362"/>
      <c r="Z78" s="362"/>
      <c r="AA78" s="362"/>
      <c r="AB78" s="362"/>
      <c r="AC78" s="362"/>
      <c r="AD78" s="362"/>
      <c r="AE78" s="362"/>
      <c r="AF78" s="362"/>
    </row>
    <row r="79" spans="1:32" x14ac:dyDescent="0.2">
      <c r="A79" s="73" t="s">
        <v>331</v>
      </c>
      <c r="B79" s="650">
        <v>11069</v>
      </c>
      <c r="C79" s="650">
        <v>11069</v>
      </c>
      <c r="D79" s="650">
        <v>11069</v>
      </c>
      <c r="E79" s="650">
        <v>11069</v>
      </c>
      <c r="F79" s="650">
        <v>11069</v>
      </c>
      <c r="G79" s="650">
        <v>11069</v>
      </c>
      <c r="H79" s="650">
        <v>11069</v>
      </c>
      <c r="W79" s="362"/>
      <c r="X79" s="362"/>
      <c r="Y79" s="362"/>
      <c r="Z79" s="362"/>
      <c r="AA79" s="362"/>
      <c r="AB79" s="362"/>
      <c r="AC79" s="362"/>
      <c r="AD79" s="362"/>
      <c r="AE79" s="362"/>
      <c r="AF79" s="362"/>
    </row>
    <row r="80" spans="1:32" x14ac:dyDescent="0.2">
      <c r="A80" s="73" t="s">
        <v>332</v>
      </c>
      <c r="B80" s="651">
        <v>9900</v>
      </c>
      <c r="C80" s="651">
        <v>9900</v>
      </c>
      <c r="D80" s="651">
        <v>9900</v>
      </c>
      <c r="E80" s="651">
        <v>10000</v>
      </c>
      <c r="F80" s="651">
        <v>10000</v>
      </c>
      <c r="G80" s="651">
        <v>10000</v>
      </c>
      <c r="H80" s="651">
        <v>10000</v>
      </c>
      <c r="W80" s="362"/>
      <c r="X80" s="362"/>
      <c r="Y80" s="362"/>
      <c r="Z80" s="362"/>
      <c r="AA80" s="362"/>
      <c r="AB80" s="362"/>
      <c r="AC80" s="362"/>
      <c r="AD80" s="362"/>
      <c r="AE80" s="362"/>
      <c r="AF80" s="362"/>
    </row>
    <row r="81" spans="1:32" x14ac:dyDescent="0.2">
      <c r="A81" s="382" t="s">
        <v>333</v>
      </c>
      <c r="B81" s="652">
        <v>70</v>
      </c>
      <c r="C81" s="652">
        <v>70</v>
      </c>
      <c r="D81" s="652">
        <v>70</v>
      </c>
      <c r="E81" s="652">
        <v>70</v>
      </c>
      <c r="F81" s="652">
        <v>70</v>
      </c>
      <c r="G81" s="652">
        <v>70</v>
      </c>
      <c r="H81" s="652">
        <v>70</v>
      </c>
      <c r="W81" s="362"/>
      <c r="X81" s="362"/>
      <c r="Y81" s="362"/>
      <c r="Z81" s="362"/>
      <c r="AA81" s="362"/>
      <c r="AB81" s="362"/>
      <c r="AC81" s="362"/>
      <c r="AD81" s="362"/>
      <c r="AE81" s="362"/>
      <c r="AF81" s="362"/>
    </row>
    <row r="82" spans="1:32" x14ac:dyDescent="0.2">
      <c r="A82" s="363" t="s">
        <v>334</v>
      </c>
      <c r="B82" s="651">
        <v>39860</v>
      </c>
      <c r="C82" s="651">
        <v>39860</v>
      </c>
      <c r="D82" s="651">
        <v>39860</v>
      </c>
      <c r="E82" s="651">
        <v>39860</v>
      </c>
      <c r="F82" s="651">
        <v>39860</v>
      </c>
      <c r="G82" s="651">
        <v>39860</v>
      </c>
      <c r="H82" s="651">
        <v>39860</v>
      </c>
      <c r="W82" s="362"/>
      <c r="X82" s="362"/>
      <c r="Y82" s="362"/>
      <c r="Z82" s="362"/>
      <c r="AA82" s="362"/>
      <c r="AB82" s="362"/>
      <c r="AC82" s="362"/>
      <c r="AD82" s="362"/>
      <c r="AE82" s="362"/>
      <c r="AF82" s="362"/>
    </row>
    <row r="83" spans="1:32" x14ac:dyDescent="0.2">
      <c r="A83" s="363" t="s">
        <v>335</v>
      </c>
      <c r="B83" s="653">
        <v>52760</v>
      </c>
      <c r="C83" s="653">
        <v>52760</v>
      </c>
      <c r="D83" s="653">
        <v>52760</v>
      </c>
      <c r="E83" s="653">
        <v>52760</v>
      </c>
      <c r="F83" s="653">
        <v>52760</v>
      </c>
      <c r="G83" s="653">
        <v>52760</v>
      </c>
      <c r="H83" s="653">
        <v>52760</v>
      </c>
      <c r="W83" s="362"/>
      <c r="X83" s="362"/>
      <c r="Y83" s="362"/>
      <c r="Z83" s="362"/>
      <c r="AA83" s="362"/>
      <c r="AB83" s="362"/>
      <c r="AC83" s="362"/>
      <c r="AD83" s="362"/>
      <c r="AE83" s="362"/>
      <c r="AF83" s="362"/>
    </row>
    <row r="84" spans="1:32" x14ac:dyDescent="0.2">
      <c r="A84" s="363" t="s">
        <v>451</v>
      </c>
      <c r="B84" s="76"/>
      <c r="C84" s="76"/>
      <c r="D84" s="76"/>
      <c r="E84" s="76"/>
      <c r="F84" s="76"/>
      <c r="G84" s="76"/>
      <c r="H84" s="76"/>
      <c r="W84" s="362"/>
      <c r="X84" s="362"/>
      <c r="Y84" s="362"/>
      <c r="Z84" s="362"/>
      <c r="AA84" s="362"/>
      <c r="AB84" s="362"/>
      <c r="AC84" s="362"/>
      <c r="AD84" s="362"/>
      <c r="AE84" s="362"/>
      <c r="AF84" s="362"/>
    </row>
    <row r="85" spans="1:32" x14ac:dyDescent="0.2">
      <c r="A85" s="363" t="s">
        <v>470</v>
      </c>
      <c r="B85" s="384"/>
      <c r="C85" s="384">
        <f t="shared" ref="C85:H85" si="9">C80-B80</f>
        <v>0</v>
      </c>
      <c r="D85" s="384">
        <f t="shared" si="9"/>
        <v>0</v>
      </c>
      <c r="E85" s="384">
        <f t="shared" si="9"/>
        <v>100</v>
      </c>
      <c r="F85" s="384">
        <f t="shared" si="9"/>
        <v>0</v>
      </c>
      <c r="G85" s="384">
        <f t="shared" si="9"/>
        <v>0</v>
      </c>
      <c r="H85" s="384">
        <f t="shared" si="9"/>
        <v>0</v>
      </c>
      <c r="W85" s="362"/>
      <c r="X85" s="362"/>
      <c r="Y85" s="362"/>
      <c r="Z85" s="362"/>
      <c r="AA85" s="362"/>
      <c r="AB85" s="362"/>
      <c r="AC85" s="362"/>
      <c r="AD85" s="362"/>
      <c r="AE85" s="362"/>
      <c r="AF85" s="362"/>
    </row>
    <row r="86" spans="1:32" x14ac:dyDescent="0.2">
      <c r="A86" s="363" t="s">
        <v>452</v>
      </c>
      <c r="B86" s="383">
        <f t="shared" ref="B86:H86" si="10">B80/B79</f>
        <v>0.89438973710362268</v>
      </c>
      <c r="C86" s="383">
        <f t="shared" si="10"/>
        <v>0.89438973710362268</v>
      </c>
      <c r="D86" s="383">
        <f t="shared" si="10"/>
        <v>0.89438973710362268</v>
      </c>
      <c r="E86" s="383">
        <f t="shared" si="10"/>
        <v>0.90342397687234621</v>
      </c>
      <c r="F86" s="383">
        <f t="shared" si="10"/>
        <v>0.90342397687234621</v>
      </c>
      <c r="G86" s="383">
        <f t="shared" si="10"/>
        <v>0.90342397687234621</v>
      </c>
      <c r="H86" s="383">
        <f t="shared" si="10"/>
        <v>0.90342397687234621</v>
      </c>
      <c r="W86" s="362"/>
      <c r="X86" s="362"/>
      <c r="Y86" s="362"/>
      <c r="Z86" s="362"/>
      <c r="AA86" s="362"/>
      <c r="AB86" s="362"/>
      <c r="AC86" s="362"/>
      <c r="AD86" s="362"/>
      <c r="AE86" s="362"/>
      <c r="AF86" s="362"/>
    </row>
    <row r="87" spans="1:32" x14ac:dyDescent="0.2">
      <c r="A87" s="73" t="s">
        <v>469</v>
      </c>
      <c r="B87" s="650">
        <v>11298</v>
      </c>
      <c r="C87" s="650">
        <v>11298</v>
      </c>
      <c r="D87" s="650">
        <v>11298</v>
      </c>
      <c r="E87" s="650">
        <v>11298</v>
      </c>
      <c r="F87" s="650">
        <v>11298</v>
      </c>
      <c r="G87" s="650">
        <v>11298</v>
      </c>
      <c r="H87" s="650">
        <v>11298</v>
      </c>
      <c r="W87" s="362"/>
      <c r="X87" s="362"/>
      <c r="Y87" s="362"/>
      <c r="Z87" s="362"/>
      <c r="AA87" s="362"/>
      <c r="AB87" s="362"/>
      <c r="AC87" s="362"/>
      <c r="AD87" s="362"/>
      <c r="AE87" s="362"/>
      <c r="AF87" s="362"/>
    </row>
    <row r="88" spans="1:32" x14ac:dyDescent="0.2">
      <c r="A88" s="75" t="s">
        <v>336</v>
      </c>
      <c r="B88" s="654">
        <v>9150</v>
      </c>
      <c r="C88" s="654">
        <v>9150</v>
      </c>
      <c r="D88" s="654">
        <v>9150</v>
      </c>
      <c r="E88" s="654">
        <v>9250</v>
      </c>
      <c r="F88" s="654">
        <v>9250</v>
      </c>
      <c r="G88" s="654">
        <v>9250</v>
      </c>
      <c r="H88" s="654">
        <v>9250</v>
      </c>
      <c r="W88" s="362"/>
      <c r="X88" s="362"/>
      <c r="Y88" s="362"/>
      <c r="Z88" s="362"/>
      <c r="AA88" s="362"/>
      <c r="AB88" s="362"/>
      <c r="AC88" s="362"/>
      <c r="AD88" s="362"/>
      <c r="AE88" s="362"/>
      <c r="AF88" s="362"/>
    </row>
    <row r="89" spans="1:32" x14ac:dyDescent="0.2">
      <c r="A89" s="75" t="s">
        <v>340</v>
      </c>
      <c r="B89" s="654">
        <v>68</v>
      </c>
      <c r="C89" s="654">
        <v>68</v>
      </c>
      <c r="D89" s="654">
        <v>68</v>
      </c>
      <c r="E89" s="654">
        <v>68</v>
      </c>
      <c r="F89" s="654">
        <v>68</v>
      </c>
      <c r="G89" s="654">
        <v>68</v>
      </c>
      <c r="H89" s="654">
        <v>68</v>
      </c>
      <c r="W89" s="362"/>
      <c r="X89" s="362"/>
      <c r="Y89" s="362"/>
      <c r="Z89" s="362"/>
      <c r="AA89" s="362"/>
      <c r="AB89" s="362"/>
      <c r="AC89" s="362"/>
      <c r="AD89" s="362"/>
      <c r="AE89" s="362"/>
      <c r="AF89" s="362"/>
    </row>
    <row r="90" spans="1:32" x14ac:dyDescent="0.2">
      <c r="A90" s="75" t="s">
        <v>337</v>
      </c>
      <c r="B90" s="654">
        <v>39062.800000000003</v>
      </c>
      <c r="C90" s="654">
        <v>39062.800000000003</v>
      </c>
      <c r="D90" s="654">
        <v>39062.800000000003</v>
      </c>
      <c r="E90" s="654">
        <v>39062.800000000003</v>
      </c>
      <c r="F90" s="654">
        <v>39062.800000000003</v>
      </c>
      <c r="G90" s="654">
        <v>39062.800000000003</v>
      </c>
      <c r="H90" s="654">
        <v>39062.800000000003</v>
      </c>
      <c r="W90" s="362"/>
      <c r="X90" s="362"/>
      <c r="Y90" s="362"/>
      <c r="Z90" s="362"/>
      <c r="AA90" s="362"/>
      <c r="AB90" s="362"/>
      <c r="AC90" s="362"/>
      <c r="AD90" s="362"/>
      <c r="AE90" s="362"/>
      <c r="AF90" s="362"/>
    </row>
    <row r="91" spans="1:32" x14ac:dyDescent="0.2">
      <c r="A91" s="75" t="s">
        <v>338</v>
      </c>
      <c r="B91" s="654">
        <v>52150</v>
      </c>
      <c r="C91" s="654">
        <v>52150</v>
      </c>
      <c r="D91" s="654">
        <v>52150</v>
      </c>
      <c r="E91" s="654">
        <v>52150</v>
      </c>
      <c r="F91" s="654">
        <v>52150</v>
      </c>
      <c r="G91" s="654">
        <v>52150</v>
      </c>
      <c r="H91" s="654">
        <v>52150</v>
      </c>
      <c r="W91" s="362"/>
      <c r="X91" s="362"/>
      <c r="Y91" s="362"/>
      <c r="Z91" s="362"/>
      <c r="AA91" s="362"/>
      <c r="AB91" s="362"/>
      <c r="AC91" s="362"/>
      <c r="AD91" s="362"/>
      <c r="AE91" s="362"/>
      <c r="AF91" s="362"/>
    </row>
    <row r="92" spans="1:32" x14ac:dyDescent="0.2">
      <c r="A92" s="363" t="s">
        <v>451</v>
      </c>
      <c r="B92" s="654"/>
      <c r="C92" s="654"/>
      <c r="D92" s="654"/>
      <c r="E92" s="654"/>
      <c r="F92" s="654"/>
      <c r="G92" s="654"/>
      <c r="H92" s="654"/>
      <c r="W92" s="362"/>
      <c r="X92" s="362"/>
      <c r="Y92" s="362"/>
      <c r="Z92" s="362"/>
      <c r="AA92" s="362"/>
      <c r="AB92" s="362"/>
      <c r="AC92" s="362"/>
      <c r="AD92" s="362"/>
      <c r="AE92" s="362"/>
      <c r="AF92" s="362"/>
    </row>
    <row r="93" spans="1:32" x14ac:dyDescent="0.2">
      <c r="A93" s="363" t="s">
        <v>470</v>
      </c>
      <c r="B93" s="384"/>
      <c r="C93" s="384">
        <f t="shared" ref="C93:H93" si="11">C88-B88</f>
        <v>0</v>
      </c>
      <c r="D93" s="384">
        <f t="shared" si="11"/>
        <v>0</v>
      </c>
      <c r="E93" s="384">
        <f t="shared" si="11"/>
        <v>100</v>
      </c>
      <c r="F93" s="384">
        <f t="shared" si="11"/>
        <v>0</v>
      </c>
      <c r="G93" s="384">
        <f t="shared" si="11"/>
        <v>0</v>
      </c>
      <c r="H93" s="384">
        <f t="shared" si="11"/>
        <v>0</v>
      </c>
      <c r="W93" s="362"/>
      <c r="X93" s="362"/>
      <c r="Y93" s="362"/>
      <c r="Z93" s="362"/>
      <c r="AA93" s="362"/>
      <c r="AB93" s="362"/>
      <c r="AC93" s="362"/>
      <c r="AD93" s="362"/>
      <c r="AE93" s="362"/>
      <c r="AF93" s="362"/>
    </row>
    <row r="94" spans="1:32" x14ac:dyDescent="0.2">
      <c r="A94" s="363" t="s">
        <v>452</v>
      </c>
      <c r="B94" s="383">
        <f>B88/B87</f>
        <v>0.80987785448751992</v>
      </c>
      <c r="C94" s="383">
        <f t="shared" ref="C94:H94" si="12">C88/C87</f>
        <v>0.80987785448751992</v>
      </c>
      <c r="D94" s="383">
        <f t="shared" si="12"/>
        <v>0.80987785448751992</v>
      </c>
      <c r="E94" s="383">
        <f t="shared" si="12"/>
        <v>0.81872897858027971</v>
      </c>
      <c r="F94" s="383">
        <f t="shared" si="12"/>
        <v>0.81872897858027971</v>
      </c>
      <c r="G94" s="383">
        <f t="shared" si="12"/>
        <v>0.81872897858027971</v>
      </c>
      <c r="H94" s="383">
        <f t="shared" si="12"/>
        <v>0.81872897858027971</v>
      </c>
      <c r="W94" s="362"/>
      <c r="X94" s="362"/>
      <c r="Y94" s="362"/>
      <c r="Z94" s="362"/>
      <c r="AA94" s="362"/>
      <c r="AB94" s="362"/>
      <c r="AC94" s="362"/>
      <c r="AD94" s="362"/>
      <c r="AE94" s="362"/>
      <c r="AF94" s="362"/>
    </row>
    <row r="95" spans="1:32" x14ac:dyDescent="0.2">
      <c r="A95" s="354"/>
      <c r="B95" s="366"/>
      <c r="C95" s="366"/>
      <c r="D95" s="366"/>
      <c r="E95" s="366"/>
      <c r="F95" s="366"/>
      <c r="W95" s="362"/>
      <c r="X95" s="362"/>
      <c r="Y95" s="362"/>
      <c r="Z95" s="362"/>
      <c r="AA95" s="362"/>
      <c r="AB95" s="362"/>
      <c r="AC95" s="362"/>
      <c r="AD95" s="362"/>
      <c r="AE95" s="362"/>
      <c r="AF95" s="362"/>
    </row>
    <row r="96" spans="1:32" ht="42" customHeight="1" x14ac:dyDescent="0.2">
      <c r="A96" s="992" t="s">
        <v>356</v>
      </c>
      <c r="B96" s="993"/>
      <c r="C96" s="993"/>
      <c r="D96" s="993"/>
      <c r="E96" s="993"/>
      <c r="F96" s="993"/>
      <c r="G96" s="993"/>
      <c r="H96" s="993"/>
      <c r="I96" s="994"/>
      <c r="J96" s="999" t="s">
        <v>664</v>
      </c>
      <c r="K96" s="1000"/>
      <c r="L96" s="1000"/>
      <c r="M96" s="1000"/>
      <c r="W96" s="362"/>
      <c r="X96" s="362"/>
      <c r="Y96" s="362"/>
      <c r="Z96" s="362"/>
      <c r="AA96" s="362"/>
      <c r="AB96" s="362"/>
      <c r="AC96" s="362"/>
      <c r="AD96" s="362"/>
      <c r="AE96" s="362"/>
      <c r="AF96" s="362"/>
    </row>
    <row r="97" spans="1:182" ht="39.75" customHeight="1" x14ac:dyDescent="0.2">
      <c r="A97" s="372"/>
      <c r="B97" s="629"/>
      <c r="C97" s="999"/>
      <c r="D97" s="1000"/>
      <c r="E97" s="1000"/>
      <c r="F97" s="1000"/>
      <c r="J97" s="990" t="s">
        <v>660</v>
      </c>
      <c r="K97" s="991"/>
      <c r="L97" s="991"/>
      <c r="M97" s="991"/>
      <c r="W97" s="362"/>
      <c r="X97" s="362"/>
      <c r="Y97" s="362"/>
      <c r="Z97" s="362"/>
      <c r="AA97" s="362"/>
      <c r="AB97" s="362"/>
      <c r="AC97" s="362"/>
      <c r="AD97" s="362"/>
      <c r="AE97" s="362"/>
      <c r="AF97" s="362"/>
    </row>
    <row r="98" spans="1:182" x14ac:dyDescent="0.2">
      <c r="A98" s="372"/>
      <c r="B98" s="72">
        <f>B44</f>
        <v>2019</v>
      </c>
      <c r="C98" s="72">
        <f t="shared" ref="C98:Z98" si="13">B98+1</f>
        <v>2020</v>
      </c>
      <c r="D98" s="72">
        <f t="shared" si="13"/>
        <v>2021</v>
      </c>
      <c r="E98" s="72">
        <f t="shared" si="13"/>
        <v>2022</v>
      </c>
      <c r="F98" s="72">
        <f t="shared" si="13"/>
        <v>2023</v>
      </c>
      <c r="G98" s="72">
        <f t="shared" si="13"/>
        <v>2024</v>
      </c>
      <c r="H98" s="72">
        <f t="shared" si="13"/>
        <v>2025</v>
      </c>
      <c r="I98" s="72">
        <f t="shared" si="13"/>
        <v>2026</v>
      </c>
      <c r="J98" s="72">
        <f t="shared" si="13"/>
        <v>2027</v>
      </c>
      <c r="K98" s="72">
        <f t="shared" si="13"/>
        <v>2028</v>
      </c>
      <c r="L98" s="72">
        <f t="shared" si="13"/>
        <v>2029</v>
      </c>
      <c r="M98" s="72">
        <f t="shared" si="13"/>
        <v>2030</v>
      </c>
      <c r="N98" s="72">
        <f t="shared" si="13"/>
        <v>2031</v>
      </c>
      <c r="O98" s="72">
        <f t="shared" si="13"/>
        <v>2032</v>
      </c>
      <c r="P98" s="72">
        <f t="shared" si="13"/>
        <v>2033</v>
      </c>
      <c r="Q98" s="72">
        <f t="shared" si="13"/>
        <v>2034</v>
      </c>
      <c r="R98" s="72">
        <f t="shared" si="13"/>
        <v>2035</v>
      </c>
      <c r="S98" s="72">
        <f t="shared" si="13"/>
        <v>2036</v>
      </c>
      <c r="T98" s="72">
        <f t="shared" si="13"/>
        <v>2037</v>
      </c>
      <c r="U98" s="72">
        <f t="shared" si="13"/>
        <v>2038</v>
      </c>
      <c r="V98" s="72">
        <f t="shared" si="13"/>
        <v>2039</v>
      </c>
      <c r="W98" s="72">
        <f t="shared" si="13"/>
        <v>2040</v>
      </c>
      <c r="X98" s="72">
        <f t="shared" si="13"/>
        <v>2041</v>
      </c>
      <c r="Y98" s="72">
        <f t="shared" si="13"/>
        <v>2042</v>
      </c>
      <c r="Z98" s="72">
        <f t="shared" si="13"/>
        <v>2043</v>
      </c>
      <c r="AA98" s="72">
        <f t="shared" ref="AA98:AG98" si="14">Z98+1</f>
        <v>2044</v>
      </c>
      <c r="AB98" s="72">
        <f t="shared" si="14"/>
        <v>2045</v>
      </c>
      <c r="AC98" s="72">
        <f t="shared" si="14"/>
        <v>2046</v>
      </c>
      <c r="AD98" s="72">
        <f t="shared" si="14"/>
        <v>2047</v>
      </c>
      <c r="AE98" s="72">
        <f t="shared" si="14"/>
        <v>2048</v>
      </c>
      <c r="AF98" s="72">
        <f t="shared" si="14"/>
        <v>2049</v>
      </c>
      <c r="AG98" s="72">
        <f t="shared" si="14"/>
        <v>2050</v>
      </c>
      <c r="AH98" s="72">
        <f>AG98+1</f>
        <v>2051</v>
      </c>
      <c r="AI98" s="72">
        <f>AH98+1</f>
        <v>2052</v>
      </c>
      <c r="AJ98" s="72">
        <f t="shared" ref="AJ98:AN98" si="15">AI98+1</f>
        <v>2053</v>
      </c>
      <c r="AK98" s="72">
        <f t="shared" si="15"/>
        <v>2054</v>
      </c>
      <c r="AL98" s="72">
        <f t="shared" si="15"/>
        <v>2055</v>
      </c>
      <c r="AM98" s="72">
        <f t="shared" si="15"/>
        <v>2056</v>
      </c>
      <c r="AN98" s="72">
        <f t="shared" si="15"/>
        <v>2057</v>
      </c>
    </row>
    <row r="99" spans="1:182" ht="13.5" x14ac:dyDescent="0.2">
      <c r="A99" s="385" t="s">
        <v>29</v>
      </c>
      <c r="B99" s="77"/>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row>
    <row r="100" spans="1:182" x14ac:dyDescent="0.2">
      <c r="A100" s="78" t="s">
        <v>30</v>
      </c>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8"/>
      <c r="AL100" s="78"/>
      <c r="AM100" s="78"/>
      <c r="AN100" s="78"/>
    </row>
    <row r="101" spans="1:182" x14ac:dyDescent="0.2">
      <c r="A101" s="78" t="s">
        <v>31</v>
      </c>
      <c r="B101" s="655">
        <v>50000</v>
      </c>
      <c r="C101" s="655">
        <v>50000</v>
      </c>
      <c r="D101" s="655">
        <v>55000</v>
      </c>
      <c r="E101" s="655">
        <v>55000</v>
      </c>
      <c r="F101" s="655">
        <v>55000</v>
      </c>
      <c r="G101" s="655">
        <v>55000</v>
      </c>
      <c r="H101" s="655">
        <v>55000</v>
      </c>
      <c r="I101" s="655">
        <v>55000</v>
      </c>
      <c r="J101" s="655">
        <v>55000</v>
      </c>
      <c r="K101" s="655">
        <v>55000</v>
      </c>
      <c r="L101" s="655">
        <v>55000</v>
      </c>
      <c r="M101" s="655">
        <v>55000</v>
      </c>
      <c r="N101" s="655">
        <v>55000</v>
      </c>
      <c r="O101" s="655">
        <v>55000</v>
      </c>
      <c r="P101" s="655">
        <v>55000</v>
      </c>
      <c r="Q101" s="655">
        <v>55000</v>
      </c>
      <c r="R101" s="655">
        <v>55000</v>
      </c>
      <c r="S101" s="655">
        <v>55000</v>
      </c>
      <c r="T101" s="655">
        <v>55000</v>
      </c>
      <c r="U101" s="655">
        <v>55000</v>
      </c>
      <c r="V101" s="655">
        <v>55000</v>
      </c>
      <c r="W101" s="655">
        <v>55000</v>
      </c>
      <c r="X101" s="655">
        <v>55000</v>
      </c>
      <c r="Y101" s="655">
        <v>55000</v>
      </c>
      <c r="Z101" s="655">
        <v>55000</v>
      </c>
      <c r="AA101" s="655">
        <v>55000</v>
      </c>
      <c r="AB101" s="655">
        <v>55000</v>
      </c>
      <c r="AC101" s="655">
        <v>55000</v>
      </c>
      <c r="AD101" s="655">
        <v>55000</v>
      </c>
      <c r="AE101" s="655">
        <v>55000</v>
      </c>
      <c r="AF101" s="655">
        <v>55000</v>
      </c>
      <c r="AG101" s="655">
        <v>55000</v>
      </c>
      <c r="AH101" s="655">
        <v>55000</v>
      </c>
      <c r="AI101" s="655">
        <v>55000</v>
      </c>
      <c r="AJ101" s="655">
        <v>50000</v>
      </c>
      <c r="AK101" s="655">
        <v>50000</v>
      </c>
      <c r="AL101" s="655">
        <v>50000</v>
      </c>
      <c r="AM101" s="655">
        <v>50000</v>
      </c>
      <c r="AN101" s="655">
        <v>50000</v>
      </c>
    </row>
    <row r="102" spans="1:182" x14ac:dyDescent="0.2">
      <c r="A102" s="78" t="s">
        <v>32</v>
      </c>
      <c r="B102" s="655">
        <v>41814</v>
      </c>
      <c r="C102" s="655">
        <v>41814</v>
      </c>
      <c r="D102" s="655">
        <v>42000</v>
      </c>
      <c r="E102" s="655">
        <v>42000</v>
      </c>
      <c r="F102" s="655">
        <v>42000</v>
      </c>
      <c r="G102" s="655">
        <v>42000</v>
      </c>
      <c r="H102" s="655">
        <v>42000</v>
      </c>
      <c r="I102" s="655">
        <v>42000</v>
      </c>
      <c r="J102" s="655">
        <v>42000</v>
      </c>
      <c r="K102" s="655">
        <v>42000</v>
      </c>
      <c r="L102" s="655">
        <v>42000</v>
      </c>
      <c r="M102" s="655">
        <v>42000</v>
      </c>
      <c r="N102" s="655">
        <v>42000</v>
      </c>
      <c r="O102" s="655">
        <v>42000</v>
      </c>
      <c r="P102" s="655">
        <v>42000</v>
      </c>
      <c r="Q102" s="655">
        <v>42000</v>
      </c>
      <c r="R102" s="655">
        <v>42000</v>
      </c>
      <c r="S102" s="655">
        <v>42000</v>
      </c>
      <c r="T102" s="655">
        <v>42000</v>
      </c>
      <c r="U102" s="655">
        <v>42000</v>
      </c>
      <c r="V102" s="655">
        <v>42000</v>
      </c>
      <c r="W102" s="655">
        <v>42000</v>
      </c>
      <c r="X102" s="655">
        <v>42000</v>
      </c>
      <c r="Y102" s="655">
        <v>42000</v>
      </c>
      <c r="Z102" s="655">
        <v>42000</v>
      </c>
      <c r="AA102" s="655">
        <v>42000</v>
      </c>
      <c r="AB102" s="655">
        <v>42000</v>
      </c>
      <c r="AC102" s="655">
        <v>42000</v>
      </c>
      <c r="AD102" s="655">
        <v>42000</v>
      </c>
      <c r="AE102" s="655">
        <v>42000</v>
      </c>
      <c r="AF102" s="655">
        <v>42000</v>
      </c>
      <c r="AG102" s="655">
        <v>42000</v>
      </c>
      <c r="AH102" s="655">
        <v>42000</v>
      </c>
      <c r="AI102" s="655">
        <v>42000</v>
      </c>
      <c r="AJ102" s="655">
        <v>41814</v>
      </c>
      <c r="AK102" s="655">
        <v>41814</v>
      </c>
      <c r="AL102" s="655">
        <v>41814</v>
      </c>
      <c r="AM102" s="655">
        <v>41814</v>
      </c>
      <c r="AN102" s="655">
        <v>41814</v>
      </c>
    </row>
    <row r="103" spans="1:182" x14ac:dyDescent="0.2">
      <c r="A103" s="78" t="s">
        <v>33</v>
      </c>
      <c r="B103" s="655">
        <v>18409.27</v>
      </c>
      <c r="C103" s="655">
        <v>18409.27</v>
      </c>
      <c r="D103" s="655">
        <v>19000</v>
      </c>
      <c r="E103" s="655">
        <v>19000</v>
      </c>
      <c r="F103" s="655">
        <v>19000</v>
      </c>
      <c r="G103" s="655">
        <v>19000</v>
      </c>
      <c r="H103" s="655">
        <v>19000</v>
      </c>
      <c r="I103" s="655">
        <v>19000</v>
      </c>
      <c r="J103" s="655">
        <v>19000</v>
      </c>
      <c r="K103" s="655">
        <v>19000</v>
      </c>
      <c r="L103" s="655">
        <v>19000</v>
      </c>
      <c r="M103" s="655">
        <v>19000</v>
      </c>
      <c r="N103" s="655">
        <v>19000</v>
      </c>
      <c r="O103" s="655">
        <v>19000</v>
      </c>
      <c r="P103" s="655">
        <v>19000</v>
      </c>
      <c r="Q103" s="655">
        <v>19000</v>
      </c>
      <c r="R103" s="655">
        <v>19000</v>
      </c>
      <c r="S103" s="655">
        <v>19000</v>
      </c>
      <c r="T103" s="655">
        <v>19000</v>
      </c>
      <c r="U103" s="655">
        <v>19000</v>
      </c>
      <c r="V103" s="655">
        <v>19000</v>
      </c>
      <c r="W103" s="655">
        <v>19000</v>
      </c>
      <c r="X103" s="655">
        <v>19000</v>
      </c>
      <c r="Y103" s="655">
        <v>19000</v>
      </c>
      <c r="Z103" s="655">
        <v>19000</v>
      </c>
      <c r="AA103" s="655">
        <v>19000</v>
      </c>
      <c r="AB103" s="655">
        <v>19000</v>
      </c>
      <c r="AC103" s="655">
        <v>19000</v>
      </c>
      <c r="AD103" s="655">
        <v>19000</v>
      </c>
      <c r="AE103" s="655">
        <v>19000</v>
      </c>
      <c r="AF103" s="655">
        <v>19000</v>
      </c>
      <c r="AG103" s="655">
        <v>19000</v>
      </c>
      <c r="AH103" s="655">
        <v>19000</v>
      </c>
      <c r="AI103" s="655">
        <v>19000</v>
      </c>
      <c r="AJ103" s="655">
        <v>18409.27</v>
      </c>
      <c r="AK103" s="655">
        <v>18409.27</v>
      </c>
      <c r="AL103" s="655">
        <v>18409.27</v>
      </c>
      <c r="AM103" s="655">
        <v>18409.27</v>
      </c>
      <c r="AN103" s="655">
        <v>18409.27</v>
      </c>
    </row>
    <row r="104" spans="1:182" x14ac:dyDescent="0.2">
      <c r="A104" s="78" t="s">
        <v>34</v>
      </c>
      <c r="B104" s="655">
        <v>40894.9</v>
      </c>
      <c r="C104" s="655">
        <v>40894.9</v>
      </c>
      <c r="D104" s="655">
        <v>41000</v>
      </c>
      <c r="E104" s="655">
        <v>41000</v>
      </c>
      <c r="F104" s="655">
        <v>41000</v>
      </c>
      <c r="G104" s="655">
        <v>41000</v>
      </c>
      <c r="H104" s="655">
        <v>41000</v>
      </c>
      <c r="I104" s="655">
        <v>41000</v>
      </c>
      <c r="J104" s="655">
        <v>41000</v>
      </c>
      <c r="K104" s="655">
        <v>41000</v>
      </c>
      <c r="L104" s="655">
        <v>41000</v>
      </c>
      <c r="M104" s="655">
        <v>41000</v>
      </c>
      <c r="N104" s="655">
        <v>41000</v>
      </c>
      <c r="O104" s="655">
        <v>41000</v>
      </c>
      <c r="P104" s="655">
        <v>41000</v>
      </c>
      <c r="Q104" s="655">
        <v>41000</v>
      </c>
      <c r="R104" s="655">
        <v>41000</v>
      </c>
      <c r="S104" s="655">
        <v>41000</v>
      </c>
      <c r="T104" s="655">
        <v>41000</v>
      </c>
      <c r="U104" s="655">
        <v>41000</v>
      </c>
      <c r="V104" s="655">
        <v>41000</v>
      </c>
      <c r="W104" s="655">
        <v>41000</v>
      </c>
      <c r="X104" s="655">
        <v>41000</v>
      </c>
      <c r="Y104" s="655">
        <v>41000</v>
      </c>
      <c r="Z104" s="655">
        <v>41000</v>
      </c>
      <c r="AA104" s="655">
        <v>41000</v>
      </c>
      <c r="AB104" s="655">
        <v>41000</v>
      </c>
      <c r="AC104" s="655">
        <v>41000</v>
      </c>
      <c r="AD104" s="655">
        <v>41000</v>
      </c>
      <c r="AE104" s="655">
        <v>41000</v>
      </c>
      <c r="AF104" s="655">
        <v>41000</v>
      </c>
      <c r="AG104" s="655">
        <v>41000</v>
      </c>
      <c r="AH104" s="655">
        <v>41000</v>
      </c>
      <c r="AI104" s="655">
        <v>41000</v>
      </c>
      <c r="AJ104" s="655">
        <v>40894.9</v>
      </c>
      <c r="AK104" s="655">
        <v>40894.9</v>
      </c>
      <c r="AL104" s="655">
        <v>40894.9</v>
      </c>
      <c r="AM104" s="655">
        <v>40894.9</v>
      </c>
      <c r="AN104" s="655">
        <v>40894.9</v>
      </c>
      <c r="AO104" s="362"/>
      <c r="AP104" s="362"/>
      <c r="AQ104" s="362"/>
      <c r="AR104" s="362"/>
      <c r="AS104" s="362"/>
      <c r="AT104" s="362"/>
      <c r="AU104" s="362"/>
      <c r="AV104" s="362"/>
      <c r="AW104" s="362"/>
      <c r="AX104" s="362"/>
      <c r="AY104" s="362"/>
      <c r="AZ104" s="362"/>
      <c r="BA104" s="362"/>
      <c r="BB104" s="362"/>
      <c r="BC104" s="362"/>
      <c r="BD104" s="362"/>
      <c r="BE104" s="362"/>
      <c r="BF104" s="362"/>
      <c r="BG104" s="362"/>
      <c r="BH104" s="362"/>
      <c r="BI104" s="362"/>
      <c r="BJ104" s="362"/>
      <c r="BK104" s="362"/>
      <c r="BL104" s="362"/>
      <c r="BM104" s="362"/>
      <c r="BN104" s="362"/>
      <c r="BO104" s="362"/>
      <c r="BP104" s="362"/>
      <c r="BQ104" s="362"/>
      <c r="BR104" s="362"/>
      <c r="BS104" s="362"/>
      <c r="BT104" s="362"/>
      <c r="BU104" s="362"/>
      <c r="BV104" s="362"/>
      <c r="BW104" s="362"/>
      <c r="BX104" s="362"/>
      <c r="BY104" s="362"/>
      <c r="BZ104" s="362"/>
      <c r="CA104" s="362"/>
      <c r="CB104" s="362"/>
      <c r="CC104" s="362"/>
      <c r="CD104" s="362"/>
      <c r="CE104" s="362"/>
      <c r="CF104" s="362"/>
      <c r="CG104" s="362"/>
      <c r="CH104" s="362"/>
      <c r="CI104" s="362"/>
      <c r="CJ104" s="362"/>
      <c r="CK104" s="362"/>
      <c r="CL104" s="362"/>
      <c r="CM104" s="362"/>
      <c r="CN104" s="362"/>
      <c r="CO104" s="362"/>
      <c r="CP104" s="362"/>
      <c r="CQ104" s="362"/>
      <c r="CR104" s="362"/>
      <c r="CS104" s="362"/>
      <c r="CT104" s="362"/>
      <c r="CU104" s="362"/>
      <c r="CV104" s="362"/>
      <c r="CW104" s="362"/>
      <c r="CX104" s="362"/>
      <c r="CY104" s="362"/>
      <c r="CZ104" s="362"/>
      <c r="DA104" s="362"/>
      <c r="DB104" s="362"/>
      <c r="DC104" s="362"/>
      <c r="DD104" s="362"/>
      <c r="DE104" s="362"/>
      <c r="DF104" s="362"/>
      <c r="DG104" s="362"/>
      <c r="DH104" s="362"/>
      <c r="DI104" s="362"/>
      <c r="DJ104" s="362"/>
      <c r="DK104" s="362"/>
      <c r="DL104" s="362"/>
      <c r="DM104" s="362"/>
      <c r="DN104" s="362"/>
      <c r="DO104" s="362"/>
      <c r="DP104" s="362"/>
      <c r="DQ104" s="362"/>
      <c r="DR104" s="362"/>
      <c r="DS104" s="362"/>
      <c r="DT104" s="362"/>
      <c r="DU104" s="362"/>
      <c r="DV104" s="362"/>
      <c r="DW104" s="362"/>
      <c r="DX104" s="362"/>
      <c r="DY104" s="362"/>
      <c r="DZ104" s="362"/>
      <c r="EA104" s="362"/>
      <c r="EB104" s="362"/>
      <c r="EC104" s="362"/>
      <c r="ED104" s="362"/>
      <c r="EE104" s="362"/>
      <c r="EF104" s="362"/>
      <c r="EG104" s="362"/>
      <c r="EH104" s="362"/>
      <c r="EI104" s="362"/>
      <c r="EJ104" s="362"/>
      <c r="EK104" s="362"/>
      <c r="EL104" s="362"/>
      <c r="EM104" s="362"/>
      <c r="EN104" s="362"/>
      <c r="EO104" s="362"/>
      <c r="EP104" s="362"/>
      <c r="EQ104" s="362"/>
      <c r="ER104" s="362"/>
      <c r="ES104" s="362"/>
      <c r="ET104" s="362"/>
      <c r="EU104" s="362"/>
      <c r="EV104" s="362"/>
      <c r="EW104" s="362"/>
      <c r="EX104" s="362"/>
      <c r="EY104" s="362"/>
      <c r="EZ104" s="362"/>
      <c r="FA104" s="362"/>
      <c r="FB104" s="362"/>
      <c r="FC104" s="362"/>
      <c r="FD104" s="362"/>
      <c r="FE104" s="362"/>
      <c r="FF104" s="362"/>
      <c r="FG104" s="362"/>
      <c r="FH104" s="362"/>
      <c r="FI104" s="362"/>
      <c r="FJ104" s="362"/>
      <c r="FK104" s="362"/>
      <c r="FL104" s="362"/>
      <c r="FM104" s="362"/>
      <c r="FN104" s="362"/>
      <c r="FO104" s="362"/>
      <c r="FP104" s="362"/>
      <c r="FQ104" s="362"/>
      <c r="FR104" s="362"/>
      <c r="FS104" s="362"/>
      <c r="FT104" s="362"/>
      <c r="FU104" s="362"/>
      <c r="FV104" s="362"/>
      <c r="FW104" s="362"/>
      <c r="FX104" s="362"/>
      <c r="FY104" s="362"/>
    </row>
    <row r="105" spans="1:182" x14ac:dyDescent="0.2">
      <c r="A105" s="363" t="s">
        <v>471</v>
      </c>
      <c r="B105" s="655">
        <v>7085.15</v>
      </c>
      <c r="C105" s="655">
        <v>7085.15</v>
      </c>
      <c r="D105" s="655">
        <v>8000</v>
      </c>
      <c r="E105" s="655">
        <v>8000</v>
      </c>
      <c r="F105" s="655">
        <v>8000</v>
      </c>
      <c r="G105" s="655">
        <v>8000</v>
      </c>
      <c r="H105" s="655">
        <v>8000</v>
      </c>
      <c r="I105" s="655">
        <v>8000</v>
      </c>
      <c r="J105" s="655">
        <v>8000</v>
      </c>
      <c r="K105" s="655">
        <v>8000</v>
      </c>
      <c r="L105" s="655">
        <v>8000</v>
      </c>
      <c r="M105" s="655">
        <v>8000</v>
      </c>
      <c r="N105" s="655">
        <v>8000</v>
      </c>
      <c r="O105" s="655">
        <v>8000</v>
      </c>
      <c r="P105" s="655">
        <v>8000</v>
      </c>
      <c r="Q105" s="655">
        <v>8000</v>
      </c>
      <c r="R105" s="655">
        <v>8000</v>
      </c>
      <c r="S105" s="655">
        <v>8000</v>
      </c>
      <c r="T105" s="655">
        <v>8000</v>
      </c>
      <c r="U105" s="655">
        <v>8000</v>
      </c>
      <c r="V105" s="655">
        <v>8000</v>
      </c>
      <c r="W105" s="655">
        <v>8000</v>
      </c>
      <c r="X105" s="655">
        <v>8000</v>
      </c>
      <c r="Y105" s="655">
        <v>8000</v>
      </c>
      <c r="Z105" s="655">
        <v>8000</v>
      </c>
      <c r="AA105" s="655">
        <v>8000</v>
      </c>
      <c r="AB105" s="655">
        <v>8000</v>
      </c>
      <c r="AC105" s="655">
        <v>8000</v>
      </c>
      <c r="AD105" s="655">
        <v>8000</v>
      </c>
      <c r="AE105" s="655">
        <v>8000</v>
      </c>
      <c r="AF105" s="655">
        <v>8000</v>
      </c>
      <c r="AG105" s="655">
        <v>8000</v>
      </c>
      <c r="AH105" s="655">
        <v>8000</v>
      </c>
      <c r="AI105" s="655">
        <v>8000</v>
      </c>
      <c r="AJ105" s="655">
        <v>7085.15</v>
      </c>
      <c r="AK105" s="655">
        <v>7085.15</v>
      </c>
      <c r="AL105" s="655">
        <v>7085.15</v>
      </c>
      <c r="AM105" s="655">
        <v>7085.15</v>
      </c>
      <c r="AN105" s="655">
        <v>7085.15</v>
      </c>
      <c r="AO105" s="362"/>
      <c r="AP105" s="362"/>
      <c r="AQ105" s="362"/>
      <c r="AR105" s="362"/>
      <c r="AS105" s="362"/>
      <c r="AT105" s="362"/>
      <c r="AU105" s="362"/>
      <c r="AV105" s="362"/>
      <c r="AW105" s="362"/>
      <c r="AX105" s="362"/>
      <c r="AY105" s="362"/>
      <c r="AZ105" s="362"/>
      <c r="BA105" s="362"/>
      <c r="BB105" s="362"/>
      <c r="BC105" s="362"/>
      <c r="BD105" s="362"/>
      <c r="BE105" s="362"/>
      <c r="BF105" s="362"/>
      <c r="BG105" s="362"/>
      <c r="BH105" s="362"/>
      <c r="BI105" s="362"/>
      <c r="BJ105" s="362"/>
      <c r="BK105" s="362"/>
      <c r="BL105" s="362"/>
      <c r="BM105" s="362"/>
      <c r="BN105" s="362"/>
      <c r="BO105" s="362"/>
      <c r="BP105" s="362"/>
      <c r="BQ105" s="362"/>
      <c r="BR105" s="362"/>
      <c r="BS105" s="362"/>
      <c r="BT105" s="362"/>
      <c r="BU105" s="362"/>
      <c r="BV105" s="362"/>
      <c r="BW105" s="362"/>
      <c r="BX105" s="362"/>
      <c r="BY105" s="362"/>
      <c r="BZ105" s="362"/>
      <c r="CA105" s="362"/>
      <c r="CB105" s="362"/>
      <c r="CC105" s="362"/>
      <c r="CD105" s="362"/>
      <c r="CE105" s="362"/>
      <c r="CF105" s="362"/>
      <c r="CG105" s="362"/>
      <c r="CH105" s="362"/>
      <c r="CI105" s="362"/>
      <c r="CJ105" s="362"/>
      <c r="CK105" s="362"/>
      <c r="CL105" s="362"/>
      <c r="CM105" s="362"/>
      <c r="CN105" s="362"/>
      <c r="CO105" s="362"/>
      <c r="CP105" s="362"/>
      <c r="CQ105" s="362"/>
      <c r="CR105" s="362"/>
      <c r="CS105" s="362"/>
      <c r="CT105" s="362"/>
      <c r="CU105" s="362"/>
      <c r="CV105" s="362"/>
      <c r="CW105" s="362"/>
      <c r="CX105" s="362"/>
      <c r="CY105" s="362"/>
      <c r="CZ105" s="362"/>
      <c r="DA105" s="362"/>
      <c r="DB105" s="362"/>
      <c r="DC105" s="362"/>
      <c r="DD105" s="362"/>
      <c r="DE105" s="362"/>
      <c r="DF105" s="362"/>
      <c r="DG105" s="362"/>
      <c r="DH105" s="362"/>
      <c r="DI105" s="362"/>
      <c r="DJ105" s="362"/>
      <c r="DK105" s="362"/>
      <c r="DL105" s="362"/>
      <c r="DM105" s="362"/>
      <c r="DN105" s="362"/>
      <c r="DO105" s="362"/>
      <c r="DP105" s="362"/>
      <c r="DQ105" s="362"/>
      <c r="DR105" s="362"/>
      <c r="DS105" s="362"/>
      <c r="DT105" s="362"/>
      <c r="DU105" s="362"/>
      <c r="DV105" s="362"/>
      <c r="DW105" s="362"/>
      <c r="DX105" s="362"/>
      <c r="DY105" s="362"/>
      <c r="DZ105" s="362"/>
      <c r="EA105" s="362"/>
      <c r="EB105" s="362"/>
      <c r="EC105" s="362"/>
      <c r="ED105" s="362"/>
      <c r="EE105" s="362"/>
      <c r="EF105" s="362"/>
      <c r="EG105" s="362"/>
      <c r="EH105" s="362"/>
      <c r="EI105" s="362"/>
      <c r="EJ105" s="362"/>
      <c r="EK105" s="362"/>
      <c r="EL105" s="362"/>
      <c r="EM105" s="362"/>
      <c r="EN105" s="362"/>
      <c r="EO105" s="362"/>
      <c r="EP105" s="362"/>
      <c r="EQ105" s="362"/>
      <c r="ER105" s="362"/>
      <c r="ES105" s="362"/>
      <c r="ET105" s="362"/>
      <c r="EU105" s="362"/>
      <c r="EV105" s="362"/>
      <c r="EW105" s="362"/>
      <c r="EX105" s="362"/>
      <c r="EY105" s="362"/>
      <c r="EZ105" s="362"/>
      <c r="FA105" s="362"/>
      <c r="FB105" s="362"/>
      <c r="FC105" s="362"/>
      <c r="FD105" s="362"/>
      <c r="FE105" s="362"/>
      <c r="FF105" s="362"/>
      <c r="FG105" s="362"/>
      <c r="FH105" s="362"/>
      <c r="FI105" s="362"/>
      <c r="FJ105" s="362"/>
      <c r="FK105" s="362"/>
      <c r="FL105" s="362"/>
      <c r="FM105" s="362"/>
      <c r="FN105" s="362"/>
      <c r="FO105" s="362"/>
      <c r="FP105" s="362"/>
      <c r="FQ105" s="362"/>
      <c r="FR105" s="362"/>
      <c r="FS105" s="362"/>
      <c r="FT105" s="362"/>
      <c r="FU105" s="362"/>
      <c r="FV105" s="362"/>
      <c r="FW105" s="362"/>
      <c r="FX105" s="362"/>
      <c r="FY105" s="362"/>
    </row>
    <row r="106" spans="1:182" x14ac:dyDescent="0.2">
      <c r="A106" s="771" t="s">
        <v>615</v>
      </c>
      <c r="B106" s="775">
        <f>SUM(B107:B109)</f>
        <v>0</v>
      </c>
      <c r="C106" s="775">
        <f t="shared" ref="C106:AI106" si="16">SUM(C107:C109)</f>
        <v>0</v>
      </c>
      <c r="D106" s="775">
        <f t="shared" si="16"/>
        <v>0</v>
      </c>
      <c r="E106" s="775">
        <f t="shared" si="16"/>
        <v>0</v>
      </c>
      <c r="F106" s="775">
        <f t="shared" si="16"/>
        <v>0</v>
      </c>
      <c r="G106" s="775">
        <f t="shared" si="16"/>
        <v>0</v>
      </c>
      <c r="H106" s="775">
        <f t="shared" si="16"/>
        <v>0</v>
      </c>
      <c r="I106" s="775">
        <f t="shared" si="16"/>
        <v>0</v>
      </c>
      <c r="J106" s="775">
        <f t="shared" si="16"/>
        <v>0</v>
      </c>
      <c r="K106" s="775">
        <f t="shared" si="16"/>
        <v>0</v>
      </c>
      <c r="L106" s="775">
        <f t="shared" si="16"/>
        <v>0</v>
      </c>
      <c r="M106" s="775">
        <f t="shared" si="16"/>
        <v>0</v>
      </c>
      <c r="N106" s="775">
        <f t="shared" si="16"/>
        <v>0</v>
      </c>
      <c r="O106" s="775">
        <f t="shared" si="16"/>
        <v>0</v>
      </c>
      <c r="P106" s="775">
        <f t="shared" si="16"/>
        <v>0</v>
      </c>
      <c r="Q106" s="775">
        <f t="shared" si="16"/>
        <v>0</v>
      </c>
      <c r="R106" s="775">
        <f t="shared" si="16"/>
        <v>0</v>
      </c>
      <c r="S106" s="775">
        <f t="shared" si="16"/>
        <v>0</v>
      </c>
      <c r="T106" s="775">
        <f t="shared" si="16"/>
        <v>0</v>
      </c>
      <c r="U106" s="775">
        <f t="shared" si="16"/>
        <v>0</v>
      </c>
      <c r="V106" s="775">
        <f t="shared" si="16"/>
        <v>0</v>
      </c>
      <c r="W106" s="775">
        <f t="shared" si="16"/>
        <v>0</v>
      </c>
      <c r="X106" s="775">
        <f t="shared" si="16"/>
        <v>0</v>
      </c>
      <c r="Y106" s="775">
        <f t="shared" si="16"/>
        <v>0</v>
      </c>
      <c r="Z106" s="775">
        <f t="shared" si="16"/>
        <v>0</v>
      </c>
      <c r="AA106" s="775">
        <f t="shared" si="16"/>
        <v>0</v>
      </c>
      <c r="AB106" s="775">
        <f t="shared" si="16"/>
        <v>0</v>
      </c>
      <c r="AC106" s="775">
        <f t="shared" si="16"/>
        <v>0</v>
      </c>
      <c r="AD106" s="775">
        <f t="shared" si="16"/>
        <v>0</v>
      </c>
      <c r="AE106" s="775">
        <f t="shared" si="16"/>
        <v>0</v>
      </c>
      <c r="AF106" s="775">
        <f t="shared" si="16"/>
        <v>0</v>
      </c>
      <c r="AG106" s="775">
        <f t="shared" si="16"/>
        <v>0</v>
      </c>
      <c r="AH106" s="775">
        <f t="shared" si="16"/>
        <v>0</v>
      </c>
      <c r="AI106" s="775">
        <f t="shared" si="16"/>
        <v>0</v>
      </c>
      <c r="AJ106" s="775">
        <f t="shared" ref="AJ106" si="17">SUM(AJ107:AJ109)</f>
        <v>0</v>
      </c>
      <c r="AK106" s="775">
        <f t="shared" ref="AK106" si="18">SUM(AK107:AK109)</f>
        <v>0</v>
      </c>
      <c r="AL106" s="775">
        <f t="shared" ref="AL106" si="19">SUM(AL107:AL109)</f>
        <v>0</v>
      </c>
      <c r="AM106" s="775">
        <f t="shared" ref="AM106" si="20">SUM(AM107:AM109)</f>
        <v>0</v>
      </c>
      <c r="AN106" s="775">
        <f t="shared" ref="AN106" si="21">SUM(AN107:AN109)</f>
        <v>0</v>
      </c>
      <c r="AO106" s="362"/>
      <c r="AP106" s="362"/>
      <c r="AQ106" s="362"/>
      <c r="AR106" s="362"/>
      <c r="AS106" s="362"/>
      <c r="AT106" s="362"/>
      <c r="AU106" s="362"/>
      <c r="AV106" s="362"/>
      <c r="AW106" s="362"/>
      <c r="AX106" s="362"/>
      <c r="AY106" s="362"/>
      <c r="AZ106" s="362"/>
      <c r="BA106" s="362"/>
      <c r="BB106" s="362"/>
      <c r="BC106" s="362"/>
      <c r="BD106" s="362"/>
      <c r="BE106" s="362"/>
      <c r="BF106" s="362"/>
      <c r="BG106" s="362"/>
      <c r="BH106" s="362"/>
      <c r="BI106" s="362"/>
      <c r="BJ106" s="362"/>
      <c r="BK106" s="362"/>
      <c r="BL106" s="362"/>
      <c r="BM106" s="362"/>
      <c r="BN106" s="362"/>
      <c r="BO106" s="362"/>
      <c r="BP106" s="362"/>
      <c r="BQ106" s="362"/>
      <c r="BR106" s="362"/>
      <c r="BS106" s="362"/>
      <c r="BT106" s="362"/>
      <c r="BU106" s="362"/>
      <c r="BV106" s="362"/>
      <c r="BW106" s="362"/>
      <c r="BX106" s="362"/>
      <c r="BY106" s="362"/>
      <c r="BZ106" s="362"/>
      <c r="CA106" s="362"/>
      <c r="CB106" s="362"/>
      <c r="CC106" s="362"/>
      <c r="CD106" s="362"/>
      <c r="CE106" s="362"/>
      <c r="CF106" s="362"/>
      <c r="CG106" s="362"/>
      <c r="CH106" s="362"/>
      <c r="CI106" s="362"/>
      <c r="CJ106" s="362"/>
      <c r="CK106" s="362"/>
      <c r="CL106" s="362"/>
      <c r="CM106" s="362"/>
      <c r="CN106" s="362"/>
      <c r="CO106" s="362"/>
      <c r="CP106" s="362"/>
      <c r="CQ106" s="362"/>
      <c r="CR106" s="362"/>
      <c r="CS106" s="362"/>
      <c r="CT106" s="362"/>
      <c r="CU106" s="362"/>
      <c r="CV106" s="362"/>
      <c r="CW106" s="362"/>
      <c r="CX106" s="362"/>
      <c r="CY106" s="362"/>
      <c r="CZ106" s="362"/>
      <c r="DA106" s="362"/>
      <c r="DB106" s="362"/>
      <c r="DC106" s="362"/>
      <c r="DD106" s="362"/>
      <c r="DE106" s="362"/>
      <c r="DF106" s="362"/>
      <c r="DG106" s="362"/>
      <c r="DH106" s="362"/>
      <c r="DI106" s="362"/>
      <c r="DJ106" s="362"/>
      <c r="DK106" s="362"/>
      <c r="DL106" s="362"/>
      <c r="DM106" s="362"/>
      <c r="DN106" s="362"/>
      <c r="DO106" s="362"/>
      <c r="DP106" s="362"/>
      <c r="DQ106" s="362"/>
      <c r="DR106" s="362"/>
      <c r="DS106" s="362"/>
      <c r="DT106" s="362"/>
      <c r="DU106" s="362"/>
      <c r="DV106" s="362"/>
      <c r="DW106" s="362"/>
      <c r="DX106" s="362"/>
      <c r="DY106" s="362"/>
      <c r="DZ106" s="362"/>
      <c r="EA106" s="362"/>
      <c r="EB106" s="362"/>
      <c r="EC106" s="362"/>
      <c r="ED106" s="362"/>
      <c r="EE106" s="362"/>
      <c r="EF106" s="362"/>
      <c r="EG106" s="362"/>
      <c r="EH106" s="362"/>
      <c r="EI106" s="362"/>
      <c r="EJ106" s="362"/>
      <c r="EK106" s="362"/>
      <c r="EL106" s="362"/>
      <c r="EM106" s="362"/>
      <c r="EN106" s="362"/>
      <c r="EO106" s="362"/>
      <c r="EP106" s="362"/>
      <c r="EQ106" s="362"/>
      <c r="ER106" s="362"/>
      <c r="ES106" s="362"/>
      <c r="ET106" s="362"/>
      <c r="EU106" s="362"/>
      <c r="EV106" s="362"/>
      <c r="EW106" s="362"/>
      <c r="EX106" s="362"/>
      <c r="EY106" s="362"/>
      <c r="EZ106" s="362"/>
      <c r="FA106" s="362"/>
      <c r="FB106" s="362"/>
      <c r="FC106" s="362"/>
      <c r="FD106" s="362"/>
      <c r="FE106" s="362"/>
      <c r="FF106" s="362"/>
      <c r="FG106" s="362"/>
      <c r="FH106" s="362"/>
      <c r="FI106" s="362"/>
      <c r="FJ106" s="362"/>
      <c r="FK106" s="362"/>
      <c r="FL106" s="362"/>
      <c r="FM106" s="362"/>
      <c r="FN106" s="362"/>
      <c r="FO106" s="362"/>
      <c r="FP106" s="362"/>
      <c r="FQ106" s="362"/>
      <c r="FR106" s="362"/>
      <c r="FS106" s="362"/>
      <c r="FT106" s="362"/>
      <c r="FU106" s="362"/>
      <c r="FV106" s="362"/>
      <c r="FW106" s="362"/>
      <c r="FX106" s="362"/>
      <c r="FY106" s="362"/>
    </row>
    <row r="107" spans="1:182" s="78" customFormat="1" x14ac:dyDescent="0.2">
      <c r="A107" s="774" t="s">
        <v>616</v>
      </c>
      <c r="B107" s="773"/>
      <c r="C107" s="773"/>
      <c r="D107" s="773"/>
      <c r="E107" s="773"/>
      <c r="F107" s="773"/>
      <c r="G107" s="773"/>
      <c r="H107" s="773"/>
      <c r="I107" s="773"/>
      <c r="J107" s="773"/>
      <c r="K107" s="773"/>
      <c r="L107" s="773"/>
      <c r="M107" s="773"/>
      <c r="N107" s="773"/>
      <c r="O107" s="773"/>
      <c r="P107" s="773"/>
      <c r="Q107" s="773"/>
      <c r="R107" s="773"/>
      <c r="S107" s="773"/>
      <c r="T107" s="773"/>
      <c r="U107" s="773"/>
      <c r="V107" s="773"/>
      <c r="W107" s="773"/>
      <c r="X107" s="773"/>
      <c r="Y107" s="773"/>
      <c r="Z107" s="773"/>
      <c r="AA107" s="773"/>
      <c r="AB107" s="773"/>
      <c r="AC107" s="773"/>
      <c r="AD107" s="773"/>
      <c r="AE107" s="773"/>
      <c r="AF107" s="773"/>
      <c r="AG107" s="773"/>
      <c r="AH107" s="773"/>
      <c r="AI107" s="773"/>
      <c r="AJ107" s="773"/>
      <c r="AK107" s="773"/>
      <c r="AL107" s="773"/>
      <c r="AM107" s="773"/>
      <c r="AN107" s="773"/>
      <c r="AO107" s="362"/>
      <c r="AP107" s="362"/>
      <c r="AQ107" s="362"/>
      <c r="AR107" s="362"/>
      <c r="AS107" s="362"/>
      <c r="AT107" s="362"/>
      <c r="AU107" s="362"/>
      <c r="AV107" s="362"/>
      <c r="AW107" s="362"/>
      <c r="AX107" s="362"/>
      <c r="AY107" s="362"/>
      <c r="AZ107" s="362"/>
      <c r="BA107" s="362"/>
      <c r="BB107" s="362"/>
      <c r="BC107" s="362"/>
      <c r="BD107" s="362"/>
      <c r="BE107" s="362"/>
      <c r="BF107" s="362"/>
      <c r="BG107" s="362"/>
      <c r="BH107" s="362"/>
      <c r="BI107" s="362"/>
      <c r="BJ107" s="362"/>
      <c r="BK107" s="362"/>
      <c r="BL107" s="362"/>
      <c r="BM107" s="362"/>
      <c r="BN107" s="362"/>
      <c r="BO107" s="362"/>
      <c r="BP107" s="362"/>
      <c r="BQ107" s="362"/>
      <c r="BR107" s="362"/>
      <c r="BS107" s="362"/>
      <c r="BT107" s="362"/>
      <c r="BU107" s="362"/>
      <c r="BV107" s="362"/>
      <c r="BW107" s="362"/>
      <c r="BX107" s="362"/>
      <c r="BY107" s="362"/>
      <c r="BZ107" s="362"/>
      <c r="CA107" s="362"/>
      <c r="CB107" s="362"/>
      <c r="CC107" s="362"/>
      <c r="CD107" s="362"/>
      <c r="CE107" s="362"/>
      <c r="CF107" s="362"/>
      <c r="CG107" s="362"/>
      <c r="CH107" s="362"/>
      <c r="CI107" s="362"/>
      <c r="CJ107" s="362"/>
      <c r="CK107" s="362"/>
      <c r="CL107" s="362"/>
      <c r="CM107" s="362"/>
      <c r="CN107" s="362"/>
      <c r="CO107" s="362"/>
      <c r="CP107" s="362"/>
      <c r="CQ107" s="362"/>
      <c r="CR107" s="362"/>
      <c r="CS107" s="362"/>
      <c r="CT107" s="362"/>
      <c r="CU107" s="362"/>
      <c r="CV107" s="362"/>
      <c r="CW107" s="362"/>
      <c r="CX107" s="362"/>
      <c r="CY107" s="362"/>
      <c r="CZ107" s="362"/>
      <c r="DA107" s="362"/>
      <c r="DB107" s="362"/>
      <c r="DC107" s="362"/>
      <c r="DD107" s="362"/>
      <c r="DE107" s="362"/>
      <c r="DF107" s="362"/>
      <c r="DG107" s="362"/>
      <c r="DH107" s="362"/>
      <c r="DI107" s="362"/>
      <c r="DJ107" s="362"/>
      <c r="DK107" s="362"/>
      <c r="DL107" s="362"/>
      <c r="DM107" s="362"/>
      <c r="DN107" s="362"/>
      <c r="DO107" s="362"/>
      <c r="DP107" s="362"/>
      <c r="DQ107" s="362"/>
      <c r="DR107" s="362"/>
      <c r="DS107" s="362"/>
      <c r="DT107" s="362"/>
      <c r="DU107" s="362"/>
      <c r="DV107" s="362"/>
      <c r="DW107" s="362"/>
      <c r="DX107" s="362"/>
      <c r="DY107" s="362"/>
      <c r="DZ107" s="362"/>
      <c r="EA107" s="362"/>
      <c r="EB107" s="362"/>
      <c r="EC107" s="362"/>
      <c r="ED107" s="362"/>
      <c r="EE107" s="362"/>
      <c r="EF107" s="362"/>
      <c r="EG107" s="362"/>
      <c r="EH107" s="362"/>
      <c r="EI107" s="362"/>
      <c r="EJ107" s="362"/>
      <c r="EK107" s="362"/>
      <c r="EL107" s="362"/>
      <c r="EM107" s="362"/>
      <c r="EN107" s="362"/>
      <c r="EO107" s="362"/>
      <c r="EP107" s="362"/>
      <c r="EQ107" s="362"/>
      <c r="ER107" s="362"/>
      <c r="ES107" s="362"/>
      <c r="ET107" s="362"/>
      <c r="EU107" s="362"/>
      <c r="EV107" s="362"/>
      <c r="EW107" s="362"/>
      <c r="EX107" s="362"/>
      <c r="EY107" s="362"/>
      <c r="EZ107" s="362"/>
      <c r="FA107" s="362"/>
      <c r="FB107" s="362"/>
      <c r="FC107" s="362"/>
      <c r="FD107" s="362"/>
      <c r="FE107" s="362"/>
      <c r="FF107" s="362"/>
      <c r="FG107" s="362"/>
      <c r="FH107" s="362"/>
      <c r="FI107" s="362"/>
      <c r="FJ107" s="362"/>
      <c r="FK107" s="362"/>
      <c r="FL107" s="362"/>
      <c r="FM107" s="362"/>
      <c r="FN107" s="362"/>
      <c r="FO107" s="362"/>
      <c r="FP107" s="362"/>
      <c r="FQ107" s="362"/>
      <c r="FR107" s="362"/>
      <c r="FS107" s="362"/>
      <c r="FT107" s="362"/>
      <c r="FU107" s="362"/>
      <c r="FV107" s="362"/>
      <c r="FW107" s="362"/>
      <c r="FX107" s="362"/>
      <c r="FY107" s="362"/>
      <c r="FZ107" s="776"/>
    </row>
    <row r="108" spans="1:182" s="78" customFormat="1" x14ac:dyDescent="0.2">
      <c r="A108" s="774" t="s">
        <v>617</v>
      </c>
      <c r="B108" s="773"/>
      <c r="C108" s="773"/>
      <c r="D108" s="773"/>
      <c r="E108" s="773"/>
      <c r="F108" s="773"/>
      <c r="G108" s="773"/>
      <c r="H108" s="773"/>
      <c r="I108" s="773"/>
      <c r="J108" s="773"/>
      <c r="K108" s="773"/>
      <c r="L108" s="773"/>
      <c r="M108" s="773"/>
      <c r="N108" s="773"/>
      <c r="O108" s="773"/>
      <c r="P108" s="773"/>
      <c r="Q108" s="773"/>
      <c r="R108" s="773"/>
      <c r="S108" s="773"/>
      <c r="T108" s="773"/>
      <c r="U108" s="773"/>
      <c r="V108" s="773"/>
      <c r="W108" s="773"/>
      <c r="X108" s="773"/>
      <c r="Y108" s="773"/>
      <c r="Z108" s="773"/>
      <c r="AA108" s="773"/>
      <c r="AB108" s="773"/>
      <c r="AC108" s="773"/>
      <c r="AD108" s="773"/>
      <c r="AE108" s="773"/>
      <c r="AF108" s="773"/>
      <c r="AG108" s="773"/>
      <c r="AH108" s="773"/>
      <c r="AI108" s="773"/>
      <c r="AJ108" s="773"/>
      <c r="AK108" s="773"/>
      <c r="AL108" s="773"/>
      <c r="AM108" s="773"/>
      <c r="AN108" s="773"/>
      <c r="AO108" s="362"/>
      <c r="AP108" s="362"/>
      <c r="AQ108" s="362"/>
      <c r="AR108" s="362"/>
      <c r="AS108" s="362"/>
      <c r="AT108" s="362"/>
      <c r="AU108" s="362"/>
      <c r="AV108" s="362"/>
      <c r="AW108" s="362"/>
      <c r="AX108" s="362"/>
      <c r="AY108" s="362"/>
      <c r="AZ108" s="362"/>
      <c r="BA108" s="362"/>
      <c r="BB108" s="362"/>
      <c r="BC108" s="362"/>
      <c r="BD108" s="362"/>
      <c r="BE108" s="362"/>
      <c r="BF108" s="362"/>
      <c r="BG108" s="362"/>
      <c r="BH108" s="362"/>
      <c r="BI108" s="362"/>
      <c r="BJ108" s="362"/>
      <c r="BK108" s="362"/>
      <c r="BL108" s="362"/>
      <c r="BM108" s="362"/>
      <c r="BN108" s="362"/>
      <c r="BO108" s="362"/>
      <c r="BP108" s="362"/>
      <c r="BQ108" s="362"/>
      <c r="BR108" s="362"/>
      <c r="BS108" s="362"/>
      <c r="BT108" s="362"/>
      <c r="BU108" s="362"/>
      <c r="BV108" s="362"/>
      <c r="BW108" s="362"/>
      <c r="BX108" s="362"/>
      <c r="BY108" s="362"/>
      <c r="BZ108" s="362"/>
      <c r="CA108" s="362"/>
      <c r="CB108" s="362"/>
      <c r="CC108" s="362"/>
      <c r="CD108" s="362"/>
      <c r="CE108" s="362"/>
      <c r="CF108" s="362"/>
      <c r="CG108" s="362"/>
      <c r="CH108" s="362"/>
      <c r="CI108" s="362"/>
      <c r="CJ108" s="362"/>
      <c r="CK108" s="362"/>
      <c r="CL108" s="362"/>
      <c r="CM108" s="362"/>
      <c r="CN108" s="362"/>
      <c r="CO108" s="362"/>
      <c r="CP108" s="362"/>
      <c r="CQ108" s="362"/>
      <c r="CR108" s="362"/>
      <c r="CS108" s="362"/>
      <c r="CT108" s="362"/>
      <c r="CU108" s="362"/>
      <c r="CV108" s="362"/>
      <c r="CW108" s="362"/>
      <c r="CX108" s="362"/>
      <c r="CY108" s="362"/>
      <c r="CZ108" s="362"/>
      <c r="DA108" s="362"/>
      <c r="DB108" s="362"/>
      <c r="DC108" s="362"/>
      <c r="DD108" s="362"/>
      <c r="DE108" s="362"/>
      <c r="DF108" s="362"/>
      <c r="DG108" s="362"/>
      <c r="DH108" s="362"/>
      <c r="DI108" s="362"/>
      <c r="DJ108" s="362"/>
      <c r="DK108" s="362"/>
      <c r="DL108" s="362"/>
      <c r="DM108" s="362"/>
      <c r="DN108" s="362"/>
      <c r="DO108" s="362"/>
      <c r="DP108" s="362"/>
      <c r="DQ108" s="362"/>
      <c r="DR108" s="362"/>
      <c r="DS108" s="362"/>
      <c r="DT108" s="362"/>
      <c r="DU108" s="362"/>
      <c r="DV108" s="362"/>
      <c r="DW108" s="362"/>
      <c r="DX108" s="362"/>
      <c r="DY108" s="362"/>
      <c r="DZ108" s="362"/>
      <c r="EA108" s="362"/>
      <c r="EB108" s="362"/>
      <c r="EC108" s="362"/>
      <c r="ED108" s="362"/>
      <c r="EE108" s="362"/>
      <c r="EF108" s="362"/>
      <c r="EG108" s="362"/>
      <c r="EH108" s="362"/>
      <c r="EI108" s="362"/>
      <c r="EJ108" s="362"/>
      <c r="EK108" s="362"/>
      <c r="EL108" s="362"/>
      <c r="EM108" s="362"/>
      <c r="EN108" s="362"/>
      <c r="EO108" s="362"/>
      <c r="EP108" s="362"/>
      <c r="EQ108" s="362"/>
      <c r="ER108" s="362"/>
      <c r="ES108" s="362"/>
      <c r="ET108" s="362"/>
      <c r="EU108" s="362"/>
      <c r="EV108" s="362"/>
      <c r="EW108" s="362"/>
      <c r="EX108" s="362"/>
      <c r="EY108" s="362"/>
      <c r="EZ108" s="362"/>
      <c r="FA108" s="362"/>
      <c r="FB108" s="362"/>
      <c r="FC108" s="362"/>
      <c r="FD108" s="362"/>
      <c r="FE108" s="362"/>
      <c r="FF108" s="362"/>
      <c r="FG108" s="362"/>
      <c r="FH108" s="362"/>
      <c r="FI108" s="362"/>
      <c r="FJ108" s="362"/>
      <c r="FK108" s="362"/>
      <c r="FL108" s="362"/>
      <c r="FM108" s="362"/>
      <c r="FN108" s="362"/>
      <c r="FO108" s="362"/>
      <c r="FP108" s="362"/>
      <c r="FQ108" s="362"/>
      <c r="FR108" s="362"/>
      <c r="FS108" s="362"/>
      <c r="FT108" s="362"/>
      <c r="FU108" s="362"/>
      <c r="FV108" s="362"/>
      <c r="FW108" s="362"/>
      <c r="FX108" s="362"/>
      <c r="FY108" s="362"/>
      <c r="FZ108" s="776"/>
    </row>
    <row r="109" spans="1:182" s="78" customFormat="1" x14ac:dyDescent="0.2">
      <c r="A109" s="774" t="s">
        <v>618</v>
      </c>
      <c r="B109" s="656"/>
      <c r="C109" s="656"/>
      <c r="D109" s="656"/>
      <c r="E109" s="656"/>
      <c r="F109" s="656"/>
      <c r="G109" s="656"/>
      <c r="H109" s="656"/>
      <c r="I109" s="656"/>
      <c r="J109" s="656"/>
      <c r="K109" s="656"/>
      <c r="L109" s="656"/>
      <c r="M109" s="656"/>
      <c r="N109" s="656"/>
      <c r="O109" s="656"/>
      <c r="P109" s="656"/>
      <c r="Q109" s="656"/>
      <c r="R109" s="656"/>
      <c r="S109" s="656"/>
      <c r="T109" s="656"/>
      <c r="U109" s="656"/>
      <c r="V109" s="656"/>
      <c r="W109" s="656"/>
      <c r="X109" s="656"/>
      <c r="Y109" s="656"/>
      <c r="Z109" s="656"/>
      <c r="AA109" s="656"/>
      <c r="AB109" s="656"/>
      <c r="AC109" s="656"/>
      <c r="AD109" s="656"/>
      <c r="AE109" s="656"/>
      <c r="AF109" s="656"/>
      <c r="AG109" s="656"/>
      <c r="AH109" s="656"/>
      <c r="AI109" s="656"/>
      <c r="AJ109" s="656"/>
      <c r="AK109" s="656"/>
      <c r="AL109" s="656"/>
      <c r="AM109" s="656"/>
      <c r="AN109" s="656"/>
      <c r="AO109" s="362"/>
      <c r="AP109" s="362"/>
      <c r="AQ109" s="362"/>
      <c r="AR109" s="362"/>
      <c r="AS109" s="362"/>
      <c r="AT109" s="362"/>
      <c r="AU109" s="362"/>
      <c r="AV109" s="362"/>
      <c r="AW109" s="362"/>
      <c r="AX109" s="362"/>
      <c r="AY109" s="362"/>
      <c r="AZ109" s="362"/>
      <c r="BA109" s="362"/>
      <c r="BB109" s="362"/>
      <c r="BC109" s="362"/>
      <c r="BD109" s="362"/>
      <c r="BE109" s="362"/>
      <c r="BF109" s="362"/>
      <c r="BG109" s="362"/>
      <c r="BH109" s="362"/>
      <c r="BI109" s="362"/>
      <c r="BJ109" s="362"/>
      <c r="BK109" s="362"/>
      <c r="BL109" s="362"/>
      <c r="BM109" s="362"/>
      <c r="BN109" s="362"/>
      <c r="BO109" s="362"/>
      <c r="BP109" s="362"/>
      <c r="BQ109" s="362"/>
      <c r="BR109" s="362"/>
      <c r="BS109" s="362"/>
      <c r="BT109" s="362"/>
      <c r="BU109" s="362"/>
      <c r="BV109" s="362"/>
      <c r="BW109" s="362"/>
      <c r="BX109" s="362"/>
      <c r="BY109" s="362"/>
      <c r="BZ109" s="362"/>
      <c r="CA109" s="362"/>
      <c r="CB109" s="362"/>
      <c r="CC109" s="362"/>
      <c r="CD109" s="362"/>
      <c r="CE109" s="362"/>
      <c r="CF109" s="362"/>
      <c r="CG109" s="362"/>
      <c r="CH109" s="362"/>
      <c r="CI109" s="362"/>
      <c r="CJ109" s="362"/>
      <c r="CK109" s="362"/>
      <c r="CL109" s="362"/>
      <c r="CM109" s="362"/>
      <c r="CN109" s="362"/>
      <c r="CO109" s="362"/>
      <c r="CP109" s="362"/>
      <c r="CQ109" s="362"/>
      <c r="CR109" s="362"/>
      <c r="CS109" s="362"/>
      <c r="CT109" s="362"/>
      <c r="CU109" s="362"/>
      <c r="CV109" s="362"/>
      <c r="CW109" s="362"/>
      <c r="CX109" s="362"/>
      <c r="CY109" s="362"/>
      <c r="CZ109" s="362"/>
      <c r="DA109" s="362"/>
      <c r="DB109" s="362"/>
      <c r="DC109" s="362"/>
      <c r="DD109" s="362"/>
      <c r="DE109" s="362"/>
      <c r="DF109" s="362"/>
      <c r="DG109" s="362"/>
      <c r="DH109" s="362"/>
      <c r="DI109" s="362"/>
      <c r="DJ109" s="362"/>
      <c r="DK109" s="362"/>
      <c r="DL109" s="362"/>
      <c r="DM109" s="362"/>
      <c r="DN109" s="362"/>
      <c r="DO109" s="362"/>
      <c r="DP109" s="362"/>
      <c r="DQ109" s="362"/>
      <c r="DR109" s="362"/>
      <c r="DS109" s="362"/>
      <c r="DT109" s="362"/>
      <c r="DU109" s="362"/>
      <c r="DV109" s="362"/>
      <c r="DW109" s="362"/>
      <c r="DX109" s="362"/>
      <c r="DY109" s="362"/>
      <c r="DZ109" s="362"/>
      <c r="EA109" s="362"/>
      <c r="EB109" s="362"/>
      <c r="EC109" s="362"/>
      <c r="ED109" s="362"/>
      <c r="EE109" s="362"/>
      <c r="EF109" s="362"/>
      <c r="EG109" s="362"/>
      <c r="EH109" s="362"/>
      <c r="EI109" s="362"/>
      <c r="EJ109" s="362"/>
      <c r="EK109" s="362"/>
      <c r="EL109" s="362"/>
      <c r="EM109" s="362"/>
      <c r="EN109" s="362"/>
      <c r="EO109" s="362"/>
      <c r="EP109" s="362"/>
      <c r="EQ109" s="362"/>
      <c r="ER109" s="362"/>
      <c r="ES109" s="362"/>
      <c r="ET109" s="362"/>
      <c r="EU109" s="362"/>
      <c r="EV109" s="362"/>
      <c r="EW109" s="362"/>
      <c r="EX109" s="362"/>
      <c r="EY109" s="362"/>
      <c r="EZ109" s="362"/>
      <c r="FA109" s="362"/>
      <c r="FB109" s="362"/>
      <c r="FC109" s="362"/>
      <c r="FD109" s="362"/>
      <c r="FE109" s="362"/>
      <c r="FF109" s="362"/>
      <c r="FG109" s="362"/>
      <c r="FH109" s="362"/>
      <c r="FI109" s="362"/>
      <c r="FJ109" s="362"/>
      <c r="FK109" s="362"/>
      <c r="FL109" s="362"/>
      <c r="FM109" s="362"/>
      <c r="FN109" s="362"/>
      <c r="FO109" s="362"/>
      <c r="FP109" s="362"/>
      <c r="FQ109" s="362"/>
      <c r="FR109" s="362"/>
      <c r="FS109" s="362"/>
      <c r="FT109" s="362"/>
      <c r="FU109" s="362"/>
      <c r="FV109" s="362"/>
      <c r="FW109" s="362"/>
      <c r="FX109" s="362"/>
      <c r="FY109" s="362"/>
      <c r="FZ109" s="776"/>
    </row>
    <row r="110" spans="1:182" x14ac:dyDescent="0.2">
      <c r="A110" s="360" t="s">
        <v>35</v>
      </c>
      <c r="B110" s="772"/>
      <c r="C110" s="772"/>
      <c r="D110" s="772"/>
      <c r="E110" s="772"/>
      <c r="F110" s="772"/>
      <c r="G110" s="772"/>
      <c r="H110" s="772"/>
      <c r="I110" s="772"/>
      <c r="J110" s="772"/>
      <c r="K110" s="772"/>
      <c r="L110" s="772"/>
      <c r="M110" s="772"/>
      <c r="N110" s="772"/>
      <c r="O110" s="772"/>
      <c r="P110" s="772"/>
      <c r="Q110" s="772"/>
      <c r="R110" s="772"/>
      <c r="S110" s="772"/>
      <c r="T110" s="772"/>
      <c r="U110" s="772"/>
      <c r="V110" s="772"/>
      <c r="W110" s="772"/>
      <c r="X110" s="772"/>
      <c r="Y110" s="772"/>
      <c r="Z110" s="772"/>
      <c r="AA110" s="772"/>
      <c r="AB110" s="772"/>
      <c r="AC110" s="772"/>
      <c r="AD110" s="772"/>
      <c r="AE110" s="772"/>
      <c r="AF110" s="772"/>
      <c r="AG110" s="772"/>
      <c r="AH110" s="772"/>
      <c r="AI110" s="772"/>
      <c r="AJ110" s="772"/>
      <c r="AK110" s="772"/>
      <c r="AL110" s="772"/>
      <c r="AM110" s="772"/>
      <c r="AN110" s="772"/>
      <c r="AO110" s="362"/>
      <c r="AP110" s="362"/>
      <c r="AQ110" s="362"/>
      <c r="AR110" s="362"/>
      <c r="AS110" s="362"/>
      <c r="AT110" s="362"/>
      <c r="AU110" s="362"/>
      <c r="AV110" s="362"/>
      <c r="AW110" s="362"/>
      <c r="AX110" s="362"/>
      <c r="AY110" s="362"/>
      <c r="AZ110" s="362"/>
      <c r="BA110" s="362"/>
      <c r="BB110" s="362"/>
      <c r="BC110" s="362"/>
      <c r="BD110" s="362"/>
      <c r="BE110" s="362"/>
      <c r="BF110" s="362"/>
      <c r="BG110" s="362"/>
      <c r="BH110" s="362"/>
      <c r="BI110" s="362"/>
      <c r="BJ110" s="362"/>
      <c r="BK110" s="362"/>
      <c r="BL110" s="362"/>
      <c r="BM110" s="362"/>
      <c r="BN110" s="362"/>
      <c r="BO110" s="362"/>
      <c r="BP110" s="362"/>
      <c r="BQ110" s="362"/>
      <c r="BR110" s="362"/>
      <c r="BS110" s="362"/>
      <c r="BT110" s="362"/>
      <c r="BU110" s="362"/>
      <c r="BV110" s="362"/>
      <c r="BW110" s="362"/>
      <c r="BX110" s="362"/>
      <c r="BY110" s="362"/>
      <c r="BZ110" s="362"/>
      <c r="CA110" s="362"/>
      <c r="CB110" s="362"/>
      <c r="CC110" s="362"/>
      <c r="CD110" s="362"/>
      <c r="CE110" s="362"/>
      <c r="CF110" s="362"/>
      <c r="CG110" s="362"/>
      <c r="CH110" s="362"/>
      <c r="CI110" s="362"/>
      <c r="CJ110" s="362"/>
      <c r="CK110" s="362"/>
      <c r="CL110" s="362"/>
      <c r="CM110" s="362"/>
      <c r="CN110" s="362"/>
      <c r="CO110" s="362"/>
      <c r="CP110" s="362"/>
      <c r="CQ110" s="362"/>
      <c r="CR110" s="362"/>
      <c r="CS110" s="362"/>
      <c r="CT110" s="362"/>
      <c r="CU110" s="362"/>
      <c r="CV110" s="362"/>
      <c r="CW110" s="362"/>
      <c r="CX110" s="362"/>
      <c r="CY110" s="362"/>
      <c r="CZ110" s="362"/>
      <c r="DA110" s="362"/>
      <c r="DB110" s="362"/>
      <c r="DC110" s="362"/>
      <c r="DD110" s="362"/>
      <c r="DE110" s="362"/>
      <c r="DF110" s="362"/>
      <c r="DG110" s="362"/>
      <c r="DH110" s="362"/>
      <c r="DI110" s="362"/>
      <c r="DJ110" s="362"/>
      <c r="DK110" s="362"/>
      <c r="DL110" s="362"/>
      <c r="DM110" s="362"/>
      <c r="DN110" s="362"/>
      <c r="DO110" s="362"/>
      <c r="DP110" s="362"/>
      <c r="DQ110" s="362"/>
      <c r="DR110" s="362"/>
      <c r="DS110" s="362"/>
      <c r="DT110" s="362"/>
      <c r="DU110" s="362"/>
      <c r="DV110" s="362"/>
      <c r="DW110" s="362"/>
      <c r="DX110" s="362"/>
      <c r="DY110" s="362"/>
      <c r="DZ110" s="362"/>
      <c r="EA110" s="362"/>
      <c r="EB110" s="362"/>
      <c r="EC110" s="362"/>
      <c r="ED110" s="362"/>
      <c r="EE110" s="362"/>
      <c r="EF110" s="362"/>
      <c r="EG110" s="362"/>
      <c r="EH110" s="362"/>
      <c r="EI110" s="362"/>
      <c r="EJ110" s="362"/>
      <c r="EK110" s="362"/>
      <c r="EL110" s="362"/>
      <c r="EM110" s="362"/>
      <c r="EN110" s="362"/>
      <c r="EO110" s="362"/>
      <c r="EP110" s="362"/>
      <c r="EQ110" s="362"/>
      <c r="ER110" s="362"/>
      <c r="ES110" s="362"/>
      <c r="ET110" s="362"/>
      <c r="EU110" s="362"/>
      <c r="EV110" s="362"/>
      <c r="EW110" s="362"/>
      <c r="EX110" s="362"/>
      <c r="EY110" s="362"/>
      <c r="EZ110" s="362"/>
      <c r="FA110" s="362"/>
      <c r="FB110" s="362"/>
      <c r="FC110" s="362"/>
      <c r="FD110" s="362"/>
      <c r="FE110" s="362"/>
      <c r="FF110" s="362"/>
      <c r="FG110" s="362"/>
      <c r="FH110" s="362"/>
      <c r="FI110" s="362"/>
      <c r="FJ110" s="362"/>
      <c r="FK110" s="362"/>
      <c r="FL110" s="362"/>
      <c r="FM110" s="362"/>
      <c r="FN110" s="362"/>
      <c r="FO110" s="362"/>
      <c r="FP110" s="362"/>
      <c r="FQ110" s="362"/>
      <c r="FR110" s="362"/>
      <c r="FS110" s="362"/>
      <c r="FT110" s="362"/>
      <c r="FU110" s="362"/>
      <c r="FV110" s="362"/>
      <c r="FW110" s="362"/>
      <c r="FX110" s="362"/>
      <c r="FY110" s="362"/>
    </row>
    <row r="111" spans="1:182" x14ac:dyDescent="0.2">
      <c r="A111" s="363" t="s">
        <v>36</v>
      </c>
      <c r="B111" s="657">
        <v>59412</v>
      </c>
      <c r="C111" s="657">
        <v>59412</v>
      </c>
      <c r="D111" s="657">
        <v>60000</v>
      </c>
      <c r="E111" s="657">
        <v>60000</v>
      </c>
      <c r="F111" s="657">
        <v>60000</v>
      </c>
      <c r="G111" s="657">
        <v>60000</v>
      </c>
      <c r="H111" s="657">
        <v>60000</v>
      </c>
      <c r="I111" s="657">
        <v>60000</v>
      </c>
      <c r="J111" s="657">
        <v>60000</v>
      </c>
      <c r="K111" s="657">
        <v>60000</v>
      </c>
      <c r="L111" s="657">
        <v>60000</v>
      </c>
      <c r="M111" s="657">
        <v>60000</v>
      </c>
      <c r="N111" s="657">
        <v>60000</v>
      </c>
      <c r="O111" s="657">
        <v>60000</v>
      </c>
      <c r="P111" s="657">
        <v>60000</v>
      </c>
      <c r="Q111" s="657">
        <v>60000</v>
      </c>
      <c r="R111" s="657">
        <v>60000</v>
      </c>
      <c r="S111" s="657">
        <v>60000</v>
      </c>
      <c r="T111" s="657">
        <v>60000</v>
      </c>
      <c r="U111" s="657">
        <v>60000</v>
      </c>
      <c r="V111" s="657">
        <v>60000</v>
      </c>
      <c r="W111" s="657">
        <v>60000</v>
      </c>
      <c r="X111" s="657">
        <v>60000</v>
      </c>
      <c r="Y111" s="657">
        <v>60000</v>
      </c>
      <c r="Z111" s="657">
        <v>60000</v>
      </c>
      <c r="AA111" s="657">
        <v>60000</v>
      </c>
      <c r="AB111" s="657">
        <v>60000</v>
      </c>
      <c r="AC111" s="657">
        <v>60000</v>
      </c>
      <c r="AD111" s="657">
        <v>60000</v>
      </c>
      <c r="AE111" s="657">
        <v>60000</v>
      </c>
      <c r="AF111" s="657">
        <v>60000</v>
      </c>
      <c r="AG111" s="657">
        <v>60000</v>
      </c>
      <c r="AH111" s="657">
        <v>60000</v>
      </c>
      <c r="AI111" s="657">
        <v>60000</v>
      </c>
      <c r="AJ111" s="657">
        <v>59413</v>
      </c>
      <c r="AK111" s="657">
        <v>59414</v>
      </c>
      <c r="AL111" s="657">
        <v>59415</v>
      </c>
      <c r="AM111" s="657">
        <v>59416</v>
      </c>
      <c r="AN111" s="657">
        <v>59417</v>
      </c>
      <c r="AO111" s="362"/>
      <c r="AP111" s="362"/>
      <c r="AQ111" s="362"/>
      <c r="AR111" s="362"/>
      <c r="AS111" s="362"/>
      <c r="AT111" s="362"/>
      <c r="AU111" s="362"/>
      <c r="AV111" s="362"/>
      <c r="AW111" s="362"/>
      <c r="AX111" s="362"/>
      <c r="AY111" s="362"/>
      <c r="AZ111" s="362"/>
      <c r="BA111" s="362"/>
      <c r="BB111" s="362"/>
      <c r="BC111" s="362"/>
      <c r="BD111" s="362"/>
      <c r="BE111" s="362"/>
      <c r="BF111" s="362"/>
      <c r="BG111" s="362"/>
      <c r="BH111" s="362"/>
      <c r="BI111" s="362"/>
      <c r="BJ111" s="362"/>
      <c r="BK111" s="362"/>
      <c r="BL111" s="362"/>
      <c r="BM111" s="362"/>
      <c r="BN111" s="362"/>
      <c r="BO111" s="362"/>
      <c r="BP111" s="362"/>
      <c r="BQ111" s="362"/>
      <c r="BR111" s="362"/>
      <c r="BS111" s="362"/>
      <c r="BT111" s="362"/>
      <c r="BU111" s="362"/>
      <c r="BV111" s="362"/>
      <c r="BW111" s="362"/>
      <c r="BX111" s="362"/>
      <c r="BY111" s="362"/>
      <c r="BZ111" s="362"/>
      <c r="CA111" s="362"/>
      <c r="CB111" s="362"/>
      <c r="CC111" s="362"/>
      <c r="CD111" s="362"/>
      <c r="CE111" s="362"/>
      <c r="CF111" s="362"/>
      <c r="CG111" s="362"/>
      <c r="CH111" s="362"/>
      <c r="CI111" s="362"/>
      <c r="CJ111" s="362"/>
      <c r="CK111" s="362"/>
      <c r="CL111" s="362"/>
      <c r="CM111" s="362"/>
      <c r="CN111" s="362"/>
      <c r="CO111" s="362"/>
      <c r="CP111" s="362"/>
      <c r="CQ111" s="362"/>
      <c r="CR111" s="362"/>
      <c r="CS111" s="362"/>
      <c r="CT111" s="362"/>
      <c r="CU111" s="362"/>
      <c r="CV111" s="362"/>
      <c r="CW111" s="362"/>
      <c r="CX111" s="362"/>
      <c r="CY111" s="362"/>
      <c r="CZ111" s="362"/>
      <c r="DA111" s="362"/>
      <c r="DB111" s="362"/>
      <c r="DC111" s="362"/>
      <c r="DD111" s="362"/>
      <c r="DE111" s="362"/>
      <c r="DF111" s="362"/>
      <c r="DG111" s="362"/>
      <c r="DH111" s="362"/>
      <c r="DI111" s="362"/>
      <c r="DJ111" s="362"/>
      <c r="DK111" s="362"/>
      <c r="DL111" s="362"/>
      <c r="DM111" s="362"/>
      <c r="DN111" s="362"/>
      <c r="DO111" s="362"/>
      <c r="DP111" s="362"/>
      <c r="DQ111" s="362"/>
      <c r="DR111" s="362"/>
      <c r="DS111" s="362"/>
      <c r="DT111" s="362"/>
      <c r="DU111" s="362"/>
      <c r="DV111" s="362"/>
      <c r="DW111" s="362"/>
      <c r="DX111" s="362"/>
      <c r="DY111" s="362"/>
      <c r="DZ111" s="362"/>
      <c r="EA111" s="362"/>
      <c r="EB111" s="362"/>
      <c r="EC111" s="362"/>
      <c r="ED111" s="362"/>
      <c r="EE111" s="362"/>
      <c r="EF111" s="362"/>
      <c r="EG111" s="362"/>
      <c r="EH111" s="362"/>
      <c r="EI111" s="362"/>
      <c r="EJ111" s="362"/>
      <c r="EK111" s="362"/>
      <c r="EL111" s="362"/>
      <c r="EM111" s="362"/>
      <c r="EN111" s="362"/>
      <c r="EO111" s="362"/>
      <c r="EP111" s="362"/>
      <c r="EQ111" s="362"/>
      <c r="ER111" s="362"/>
      <c r="ES111" s="362"/>
      <c r="ET111" s="362"/>
      <c r="EU111" s="362"/>
      <c r="EV111" s="362"/>
      <c r="EW111" s="362"/>
      <c r="EX111" s="362"/>
      <c r="EY111" s="362"/>
      <c r="EZ111" s="362"/>
      <c r="FA111" s="362"/>
      <c r="FB111" s="362"/>
      <c r="FC111" s="362"/>
      <c r="FD111" s="362"/>
      <c r="FE111" s="362"/>
      <c r="FF111" s="362"/>
      <c r="FG111" s="362"/>
      <c r="FH111" s="362"/>
      <c r="FI111" s="362"/>
      <c r="FJ111" s="362"/>
      <c r="FK111" s="362"/>
      <c r="FL111" s="362"/>
      <c r="FM111" s="362"/>
      <c r="FN111" s="362"/>
      <c r="FO111" s="362"/>
      <c r="FP111" s="362"/>
      <c r="FQ111" s="362"/>
      <c r="FR111" s="362"/>
      <c r="FS111" s="362"/>
      <c r="FT111" s="362"/>
      <c r="FU111" s="362"/>
      <c r="FV111" s="362"/>
      <c r="FW111" s="362"/>
      <c r="FX111" s="362"/>
      <c r="FY111" s="362"/>
    </row>
    <row r="112" spans="1:182" x14ac:dyDescent="0.2">
      <c r="A112" s="363" t="s">
        <v>37</v>
      </c>
      <c r="B112" s="658">
        <f t="shared" ref="B112" si="22">B111*0.2359</f>
        <v>14015.290800000001</v>
      </c>
      <c r="C112" s="658">
        <f>C111*0.2409</f>
        <v>14312.3508</v>
      </c>
      <c r="D112" s="658">
        <f t="shared" ref="D112:AI112" si="23">D111*0.2409</f>
        <v>14454</v>
      </c>
      <c r="E112" s="658">
        <f t="shared" si="23"/>
        <v>14454</v>
      </c>
      <c r="F112" s="658">
        <f t="shared" si="23"/>
        <v>14454</v>
      </c>
      <c r="G112" s="658">
        <f t="shared" si="23"/>
        <v>14454</v>
      </c>
      <c r="H112" s="658">
        <f t="shared" si="23"/>
        <v>14454</v>
      </c>
      <c r="I112" s="658">
        <f t="shared" si="23"/>
        <v>14454</v>
      </c>
      <c r="J112" s="658">
        <f t="shared" si="23"/>
        <v>14454</v>
      </c>
      <c r="K112" s="658">
        <f t="shared" si="23"/>
        <v>14454</v>
      </c>
      <c r="L112" s="658">
        <f t="shared" si="23"/>
        <v>14454</v>
      </c>
      <c r="M112" s="658">
        <f t="shared" si="23"/>
        <v>14454</v>
      </c>
      <c r="N112" s="658">
        <f t="shared" si="23"/>
        <v>14454</v>
      </c>
      <c r="O112" s="658">
        <f t="shared" si="23"/>
        <v>14454</v>
      </c>
      <c r="P112" s="658">
        <f t="shared" si="23"/>
        <v>14454</v>
      </c>
      <c r="Q112" s="658">
        <f t="shared" si="23"/>
        <v>14454</v>
      </c>
      <c r="R112" s="658">
        <f t="shared" si="23"/>
        <v>14454</v>
      </c>
      <c r="S112" s="658">
        <f t="shared" si="23"/>
        <v>14454</v>
      </c>
      <c r="T112" s="658">
        <f t="shared" si="23"/>
        <v>14454</v>
      </c>
      <c r="U112" s="658">
        <f t="shared" si="23"/>
        <v>14454</v>
      </c>
      <c r="V112" s="658">
        <f t="shared" si="23"/>
        <v>14454</v>
      </c>
      <c r="W112" s="658">
        <f t="shared" si="23"/>
        <v>14454</v>
      </c>
      <c r="X112" s="658">
        <f t="shared" si="23"/>
        <v>14454</v>
      </c>
      <c r="Y112" s="658">
        <f t="shared" si="23"/>
        <v>14454</v>
      </c>
      <c r="Z112" s="658">
        <f t="shared" si="23"/>
        <v>14454</v>
      </c>
      <c r="AA112" s="658">
        <f t="shared" si="23"/>
        <v>14454</v>
      </c>
      <c r="AB112" s="658">
        <f t="shared" si="23"/>
        <v>14454</v>
      </c>
      <c r="AC112" s="658">
        <f t="shared" si="23"/>
        <v>14454</v>
      </c>
      <c r="AD112" s="658">
        <f t="shared" si="23"/>
        <v>14454</v>
      </c>
      <c r="AE112" s="658">
        <f t="shared" si="23"/>
        <v>14454</v>
      </c>
      <c r="AF112" s="658">
        <f t="shared" si="23"/>
        <v>14454</v>
      </c>
      <c r="AG112" s="658">
        <f t="shared" si="23"/>
        <v>14454</v>
      </c>
      <c r="AH112" s="658">
        <f t="shared" si="23"/>
        <v>14454</v>
      </c>
      <c r="AI112" s="658">
        <f t="shared" si="23"/>
        <v>14454</v>
      </c>
      <c r="AJ112" s="658">
        <f t="shared" ref="AJ112:AN112" si="24">AJ111*0.2359</f>
        <v>14015.5267</v>
      </c>
      <c r="AK112" s="658">
        <f t="shared" si="24"/>
        <v>14015.7626</v>
      </c>
      <c r="AL112" s="658">
        <f t="shared" si="24"/>
        <v>14015.9985</v>
      </c>
      <c r="AM112" s="658">
        <f t="shared" si="24"/>
        <v>14016.234399999999</v>
      </c>
      <c r="AN112" s="658">
        <f t="shared" si="24"/>
        <v>14016.470299999999</v>
      </c>
      <c r="AO112" s="362"/>
      <c r="AP112" s="362"/>
      <c r="AQ112" s="362"/>
      <c r="AR112" s="362"/>
      <c r="AS112" s="362"/>
      <c r="AT112" s="362"/>
      <c r="AU112" s="362"/>
      <c r="AV112" s="362"/>
      <c r="AW112" s="362"/>
      <c r="AX112" s="362"/>
      <c r="AY112" s="362"/>
      <c r="AZ112" s="362"/>
      <c r="BA112" s="362"/>
      <c r="BB112" s="362"/>
      <c r="BC112" s="362"/>
      <c r="BD112" s="362"/>
      <c r="BE112" s="362"/>
      <c r="BF112" s="362"/>
      <c r="BG112" s="362"/>
      <c r="BH112" s="362"/>
      <c r="BI112" s="362"/>
      <c r="BJ112" s="362"/>
      <c r="BK112" s="362"/>
      <c r="BL112" s="362"/>
      <c r="BM112" s="362"/>
      <c r="BN112" s="362"/>
      <c r="BO112" s="362"/>
      <c r="BP112" s="362"/>
      <c r="BQ112" s="362"/>
      <c r="BR112" s="362"/>
      <c r="BS112" s="362"/>
      <c r="BT112" s="362"/>
      <c r="BU112" s="362"/>
      <c r="BV112" s="362"/>
      <c r="BW112" s="362"/>
      <c r="BX112" s="362"/>
      <c r="BY112" s="362"/>
      <c r="BZ112" s="362"/>
      <c r="CA112" s="362"/>
      <c r="CB112" s="362"/>
      <c r="CC112" s="362"/>
      <c r="CD112" s="362"/>
      <c r="CE112" s="362"/>
      <c r="CF112" s="362"/>
      <c r="CG112" s="362"/>
      <c r="CH112" s="362"/>
      <c r="CI112" s="362"/>
      <c r="CJ112" s="362"/>
      <c r="CK112" s="362"/>
      <c r="CL112" s="362"/>
      <c r="CM112" s="362"/>
      <c r="CN112" s="362"/>
      <c r="CO112" s="362"/>
      <c r="CP112" s="362"/>
      <c r="CQ112" s="362"/>
      <c r="CR112" s="362"/>
      <c r="CS112" s="362"/>
      <c r="CT112" s="362"/>
      <c r="CU112" s="362"/>
      <c r="CV112" s="362"/>
      <c r="CW112" s="362"/>
      <c r="CX112" s="362"/>
      <c r="CY112" s="362"/>
      <c r="CZ112" s="362"/>
      <c r="DA112" s="362"/>
      <c r="DB112" s="362"/>
      <c r="DC112" s="362"/>
      <c r="DD112" s="362"/>
      <c r="DE112" s="362"/>
      <c r="DF112" s="362"/>
      <c r="DG112" s="362"/>
      <c r="DH112" s="362"/>
      <c r="DI112" s="362"/>
      <c r="DJ112" s="362"/>
      <c r="DK112" s="362"/>
      <c r="DL112" s="362"/>
      <c r="DM112" s="362"/>
      <c r="DN112" s="362"/>
      <c r="DO112" s="362"/>
      <c r="DP112" s="362"/>
      <c r="DQ112" s="362"/>
      <c r="DR112" s="362"/>
      <c r="DS112" s="362"/>
      <c r="DT112" s="362"/>
      <c r="DU112" s="362"/>
      <c r="DV112" s="362"/>
      <c r="DW112" s="362"/>
      <c r="DX112" s="362"/>
      <c r="DY112" s="362"/>
      <c r="DZ112" s="362"/>
      <c r="EA112" s="362"/>
      <c r="EB112" s="362"/>
      <c r="EC112" s="362"/>
      <c r="ED112" s="362"/>
      <c r="EE112" s="362"/>
      <c r="EF112" s="362"/>
      <c r="EG112" s="362"/>
      <c r="EH112" s="362"/>
      <c r="EI112" s="362"/>
      <c r="EJ112" s="362"/>
      <c r="EK112" s="362"/>
      <c r="EL112" s="362"/>
      <c r="EM112" s="362"/>
      <c r="EN112" s="362"/>
      <c r="EO112" s="362"/>
      <c r="EP112" s="362"/>
      <c r="EQ112" s="362"/>
      <c r="ER112" s="362"/>
      <c r="ES112" s="362"/>
      <c r="ET112" s="362"/>
      <c r="EU112" s="362"/>
      <c r="EV112" s="362"/>
      <c r="EW112" s="362"/>
      <c r="EX112" s="362"/>
      <c r="EY112" s="362"/>
      <c r="EZ112" s="362"/>
      <c r="FA112" s="362"/>
      <c r="FB112" s="362"/>
      <c r="FC112" s="362"/>
      <c r="FD112" s="362"/>
      <c r="FE112" s="362"/>
      <c r="FF112" s="362"/>
      <c r="FG112" s="362"/>
      <c r="FH112" s="362"/>
      <c r="FI112" s="362"/>
      <c r="FJ112" s="362"/>
      <c r="FK112" s="362"/>
      <c r="FL112" s="362"/>
      <c r="FM112" s="362"/>
      <c r="FN112" s="362"/>
      <c r="FO112" s="362"/>
      <c r="FP112" s="362"/>
      <c r="FQ112" s="362"/>
      <c r="FR112" s="362"/>
      <c r="FS112" s="362"/>
      <c r="FT112" s="362"/>
      <c r="FU112" s="362"/>
      <c r="FV112" s="362"/>
      <c r="FW112" s="362"/>
      <c r="FX112" s="362"/>
      <c r="FY112" s="362"/>
    </row>
    <row r="113" spans="1:182" x14ac:dyDescent="0.2">
      <c r="A113" s="363" t="s">
        <v>38</v>
      </c>
      <c r="B113" s="657"/>
      <c r="C113" s="657"/>
      <c r="D113" s="657"/>
      <c r="E113" s="657"/>
      <c r="F113" s="657"/>
      <c r="G113" s="657"/>
      <c r="H113" s="657"/>
      <c r="I113" s="657"/>
      <c r="J113" s="657"/>
      <c r="K113" s="657"/>
      <c r="L113" s="657"/>
      <c r="M113" s="657"/>
      <c r="N113" s="657"/>
      <c r="O113" s="657"/>
      <c r="P113" s="657"/>
      <c r="Q113" s="657"/>
      <c r="R113" s="657"/>
      <c r="S113" s="657"/>
      <c r="T113" s="657"/>
      <c r="U113" s="657"/>
      <c r="V113" s="657"/>
      <c r="W113" s="657"/>
      <c r="X113" s="657"/>
      <c r="Y113" s="657"/>
      <c r="Z113" s="657"/>
      <c r="AA113" s="657"/>
      <c r="AB113" s="657"/>
      <c r="AC113" s="657"/>
      <c r="AD113" s="657"/>
      <c r="AE113" s="657"/>
      <c r="AF113" s="657"/>
      <c r="AG113" s="657"/>
      <c r="AH113" s="657"/>
      <c r="AI113" s="657"/>
      <c r="AJ113" s="657"/>
      <c r="AK113" s="657"/>
      <c r="AL113" s="657"/>
      <c r="AM113" s="657"/>
      <c r="AN113" s="657"/>
      <c r="AO113" s="362"/>
      <c r="AP113" s="362"/>
      <c r="AQ113" s="362"/>
      <c r="AR113" s="362"/>
      <c r="AS113" s="362"/>
      <c r="AT113" s="362"/>
      <c r="AU113" s="362"/>
      <c r="AV113" s="362"/>
      <c r="AW113" s="362"/>
      <c r="AX113" s="362"/>
      <c r="AY113" s="362"/>
      <c r="AZ113" s="362"/>
      <c r="BA113" s="362"/>
      <c r="BB113" s="362"/>
      <c r="BC113" s="362"/>
      <c r="BD113" s="362"/>
      <c r="BE113" s="362"/>
      <c r="BF113" s="362"/>
      <c r="BG113" s="362"/>
      <c r="BH113" s="362"/>
      <c r="BI113" s="362"/>
      <c r="BJ113" s="362"/>
      <c r="BK113" s="362"/>
      <c r="BL113" s="362"/>
      <c r="BM113" s="362"/>
      <c r="BN113" s="362"/>
      <c r="BO113" s="362"/>
      <c r="BP113" s="362"/>
      <c r="BQ113" s="362"/>
      <c r="BR113" s="362"/>
      <c r="BS113" s="362"/>
      <c r="BT113" s="362"/>
      <c r="BU113" s="362"/>
      <c r="BV113" s="362"/>
      <c r="BW113" s="362"/>
      <c r="BX113" s="362"/>
      <c r="BY113" s="362"/>
      <c r="BZ113" s="362"/>
      <c r="CA113" s="362"/>
      <c r="CB113" s="362"/>
      <c r="CC113" s="362"/>
      <c r="CD113" s="362"/>
      <c r="CE113" s="362"/>
      <c r="CF113" s="362"/>
      <c r="CG113" s="362"/>
      <c r="CH113" s="362"/>
      <c r="CI113" s="362"/>
      <c r="CJ113" s="362"/>
      <c r="CK113" s="362"/>
      <c r="CL113" s="362"/>
      <c r="CM113" s="362"/>
      <c r="CN113" s="362"/>
      <c r="CO113" s="362"/>
      <c r="CP113" s="362"/>
      <c r="CQ113" s="362"/>
      <c r="CR113" s="362"/>
      <c r="CS113" s="362"/>
      <c r="CT113" s="362"/>
      <c r="CU113" s="362"/>
      <c r="CV113" s="362"/>
      <c r="CW113" s="362"/>
      <c r="CX113" s="362"/>
      <c r="CY113" s="362"/>
      <c r="CZ113" s="362"/>
      <c r="DA113" s="362"/>
      <c r="DB113" s="362"/>
      <c r="DC113" s="362"/>
      <c r="DD113" s="362"/>
      <c r="DE113" s="362"/>
      <c r="DF113" s="362"/>
      <c r="DG113" s="362"/>
      <c r="DH113" s="362"/>
      <c r="DI113" s="362"/>
      <c r="DJ113" s="362"/>
      <c r="DK113" s="362"/>
      <c r="DL113" s="362"/>
      <c r="DM113" s="362"/>
      <c r="DN113" s="362"/>
      <c r="DO113" s="362"/>
      <c r="DP113" s="362"/>
      <c r="DQ113" s="362"/>
      <c r="DR113" s="362"/>
      <c r="DS113" s="362"/>
      <c r="DT113" s="362"/>
      <c r="DU113" s="362"/>
      <c r="DV113" s="362"/>
      <c r="DW113" s="362"/>
      <c r="DX113" s="362"/>
      <c r="DY113" s="362"/>
      <c r="DZ113" s="362"/>
      <c r="EA113" s="362"/>
      <c r="EB113" s="362"/>
      <c r="EC113" s="362"/>
      <c r="ED113" s="362"/>
      <c r="EE113" s="362"/>
      <c r="EF113" s="362"/>
      <c r="EG113" s="362"/>
      <c r="EH113" s="362"/>
      <c r="EI113" s="362"/>
      <c r="EJ113" s="362"/>
      <c r="EK113" s="362"/>
      <c r="EL113" s="362"/>
      <c r="EM113" s="362"/>
      <c r="EN113" s="362"/>
      <c r="EO113" s="362"/>
      <c r="EP113" s="362"/>
      <c r="EQ113" s="362"/>
      <c r="ER113" s="362"/>
      <c r="ES113" s="362"/>
      <c r="ET113" s="362"/>
      <c r="EU113" s="362"/>
      <c r="EV113" s="362"/>
      <c r="EW113" s="362"/>
      <c r="EX113" s="362"/>
      <c r="EY113" s="362"/>
      <c r="EZ113" s="362"/>
      <c r="FA113" s="362"/>
      <c r="FB113" s="362"/>
      <c r="FC113" s="362"/>
      <c r="FD113" s="362"/>
      <c r="FE113" s="362"/>
      <c r="FF113" s="362"/>
      <c r="FG113" s="362"/>
      <c r="FH113" s="362"/>
      <c r="FI113" s="362"/>
      <c r="FJ113" s="362"/>
      <c r="FK113" s="362"/>
      <c r="FL113" s="362"/>
      <c r="FM113" s="362"/>
      <c r="FN113" s="362"/>
      <c r="FO113" s="362"/>
      <c r="FP113" s="362"/>
      <c r="FQ113" s="362"/>
      <c r="FR113" s="362"/>
      <c r="FS113" s="362"/>
      <c r="FT113" s="362"/>
      <c r="FU113" s="362"/>
      <c r="FV113" s="362"/>
      <c r="FW113" s="362"/>
      <c r="FX113" s="362"/>
      <c r="FY113" s="362"/>
    </row>
    <row r="114" spans="1:182" ht="13.5" x14ac:dyDescent="0.2">
      <c r="A114" s="385" t="s">
        <v>39</v>
      </c>
      <c r="B114" s="659"/>
      <c r="C114" s="659"/>
      <c r="D114" s="659"/>
      <c r="E114" s="659"/>
      <c r="F114" s="659"/>
      <c r="G114" s="659"/>
      <c r="H114" s="659"/>
      <c r="I114" s="659"/>
      <c r="J114" s="659"/>
      <c r="K114" s="659"/>
      <c r="L114" s="659"/>
      <c r="M114" s="659"/>
      <c r="N114" s="659"/>
      <c r="O114" s="659"/>
      <c r="P114" s="659"/>
      <c r="Q114" s="659"/>
      <c r="R114" s="659"/>
      <c r="S114" s="659"/>
      <c r="T114" s="659"/>
      <c r="U114" s="659"/>
      <c r="V114" s="659"/>
      <c r="W114" s="659"/>
      <c r="X114" s="659"/>
      <c r="Y114" s="659"/>
      <c r="Z114" s="659"/>
      <c r="AA114" s="659"/>
      <c r="AB114" s="659"/>
      <c r="AC114" s="659"/>
      <c r="AD114" s="659"/>
      <c r="AE114" s="659"/>
      <c r="AF114" s="659"/>
      <c r="AG114" s="659"/>
      <c r="AH114" s="659"/>
      <c r="AI114" s="659"/>
      <c r="AJ114" s="659"/>
      <c r="AK114" s="659"/>
      <c r="AL114" s="659"/>
      <c r="AM114" s="659"/>
      <c r="AN114" s="659"/>
      <c r="AO114" s="362"/>
      <c r="AP114" s="362"/>
      <c r="AQ114" s="362"/>
      <c r="AR114" s="362"/>
      <c r="AS114" s="362"/>
      <c r="AT114" s="362"/>
      <c r="AU114" s="362"/>
      <c r="AV114" s="362"/>
      <c r="AW114" s="362"/>
      <c r="AX114" s="362"/>
      <c r="AY114" s="362"/>
      <c r="AZ114" s="362"/>
      <c r="BA114" s="362"/>
      <c r="BB114" s="362"/>
      <c r="BC114" s="362"/>
      <c r="BD114" s="362"/>
      <c r="BE114" s="362"/>
      <c r="BF114" s="362"/>
      <c r="BG114" s="362"/>
      <c r="BH114" s="362"/>
      <c r="BI114" s="362"/>
      <c r="BJ114" s="362"/>
      <c r="BK114" s="362"/>
      <c r="BL114" s="362"/>
      <c r="BM114" s="362"/>
      <c r="BN114" s="362"/>
      <c r="BO114" s="362"/>
      <c r="BP114" s="362"/>
      <c r="BQ114" s="362"/>
      <c r="BR114" s="362"/>
      <c r="BS114" s="362"/>
      <c r="BT114" s="362"/>
      <c r="BU114" s="362"/>
      <c r="BV114" s="362"/>
      <c r="BW114" s="362"/>
      <c r="BX114" s="362"/>
      <c r="BY114" s="362"/>
      <c r="BZ114" s="362"/>
      <c r="CA114" s="362"/>
      <c r="CB114" s="362"/>
      <c r="CC114" s="362"/>
      <c r="CD114" s="362"/>
      <c r="CE114" s="362"/>
      <c r="CF114" s="362"/>
      <c r="CG114" s="362"/>
      <c r="CH114" s="362"/>
      <c r="CI114" s="362"/>
      <c r="CJ114" s="362"/>
      <c r="CK114" s="362"/>
      <c r="CL114" s="362"/>
      <c r="CM114" s="362"/>
      <c r="CN114" s="362"/>
      <c r="CO114" s="362"/>
      <c r="CP114" s="362"/>
      <c r="CQ114" s="362"/>
      <c r="CR114" s="362"/>
      <c r="CS114" s="362"/>
      <c r="CT114" s="362"/>
      <c r="CU114" s="362"/>
      <c r="CV114" s="362"/>
      <c r="CW114" s="362"/>
      <c r="CX114" s="362"/>
      <c r="CY114" s="362"/>
      <c r="CZ114" s="362"/>
      <c r="DA114" s="362"/>
      <c r="DB114" s="362"/>
      <c r="DC114" s="362"/>
      <c r="DD114" s="362"/>
      <c r="DE114" s="362"/>
      <c r="DF114" s="362"/>
      <c r="DG114" s="362"/>
      <c r="DH114" s="362"/>
      <c r="DI114" s="362"/>
      <c r="DJ114" s="362"/>
      <c r="DK114" s="362"/>
      <c r="DL114" s="362"/>
      <c r="DM114" s="362"/>
      <c r="DN114" s="362"/>
      <c r="DO114" s="362"/>
      <c r="DP114" s="362"/>
      <c r="DQ114" s="362"/>
      <c r="DR114" s="362"/>
      <c r="DS114" s="362"/>
      <c r="DT114" s="362"/>
      <c r="DU114" s="362"/>
      <c r="DV114" s="362"/>
      <c r="DW114" s="362"/>
      <c r="DX114" s="362"/>
      <c r="DY114" s="362"/>
      <c r="DZ114" s="362"/>
      <c r="EA114" s="362"/>
      <c r="EB114" s="362"/>
      <c r="EC114" s="362"/>
      <c r="ED114" s="362"/>
      <c r="EE114" s="362"/>
      <c r="EF114" s="362"/>
      <c r="EG114" s="362"/>
      <c r="EH114" s="362"/>
      <c r="EI114" s="362"/>
      <c r="EJ114" s="362"/>
      <c r="EK114" s="362"/>
      <c r="EL114" s="362"/>
      <c r="EM114" s="362"/>
      <c r="EN114" s="362"/>
      <c r="EO114" s="362"/>
      <c r="EP114" s="362"/>
      <c r="EQ114" s="362"/>
      <c r="ER114" s="362"/>
      <c r="ES114" s="362"/>
      <c r="ET114" s="362"/>
      <c r="EU114" s="362"/>
      <c r="EV114" s="362"/>
      <c r="EW114" s="362"/>
      <c r="EX114" s="362"/>
      <c r="EY114" s="362"/>
      <c r="EZ114" s="362"/>
      <c r="FA114" s="362"/>
      <c r="FB114" s="362"/>
      <c r="FC114" s="362"/>
      <c r="FD114" s="362"/>
      <c r="FE114" s="362"/>
      <c r="FF114" s="362"/>
      <c r="FG114" s="362"/>
      <c r="FH114" s="362"/>
      <c r="FI114" s="362"/>
      <c r="FJ114" s="362"/>
      <c r="FK114" s="362"/>
      <c r="FL114" s="362"/>
      <c r="FM114" s="362"/>
      <c r="FN114" s="362"/>
      <c r="FO114" s="362"/>
      <c r="FP114" s="362"/>
      <c r="FQ114" s="362"/>
      <c r="FR114" s="362"/>
      <c r="FS114" s="362"/>
      <c r="FT114" s="362"/>
      <c r="FU114" s="362"/>
      <c r="FV114" s="362"/>
      <c r="FW114" s="362"/>
      <c r="FX114" s="362"/>
      <c r="FY114" s="362"/>
    </row>
    <row r="115" spans="1:182" x14ac:dyDescent="0.2">
      <c r="A115" s="363" t="s">
        <v>30</v>
      </c>
      <c r="B115" s="660"/>
      <c r="C115" s="660"/>
      <c r="D115" s="660"/>
      <c r="E115" s="660"/>
      <c r="F115" s="660"/>
      <c r="G115" s="660"/>
      <c r="H115" s="660"/>
      <c r="I115" s="660"/>
      <c r="J115" s="660"/>
      <c r="K115" s="660"/>
      <c r="L115" s="660"/>
      <c r="M115" s="660"/>
      <c r="N115" s="660"/>
      <c r="O115" s="660"/>
      <c r="P115" s="660"/>
      <c r="Q115" s="660"/>
      <c r="R115" s="660"/>
      <c r="S115" s="660"/>
      <c r="T115" s="660"/>
      <c r="U115" s="660"/>
      <c r="V115" s="660"/>
      <c r="W115" s="660"/>
      <c r="X115" s="660"/>
      <c r="Y115" s="660"/>
      <c r="Z115" s="660"/>
      <c r="AA115" s="660"/>
      <c r="AB115" s="660"/>
      <c r="AC115" s="660"/>
      <c r="AD115" s="660"/>
      <c r="AE115" s="660"/>
      <c r="AF115" s="660"/>
      <c r="AG115" s="660"/>
      <c r="AH115" s="660"/>
      <c r="AI115" s="660"/>
      <c r="AJ115" s="660"/>
      <c r="AK115" s="660"/>
      <c r="AL115" s="660"/>
      <c r="AM115" s="660"/>
      <c r="AN115" s="660"/>
      <c r="AO115" s="362"/>
      <c r="AP115" s="362"/>
      <c r="AQ115" s="362"/>
      <c r="AR115" s="362"/>
      <c r="AS115" s="362"/>
      <c r="AT115" s="362"/>
      <c r="AU115" s="362"/>
      <c r="AV115" s="362"/>
      <c r="AW115" s="362"/>
      <c r="AX115" s="362"/>
      <c r="AY115" s="362"/>
      <c r="AZ115" s="362"/>
      <c r="BA115" s="362"/>
      <c r="BB115" s="362"/>
      <c r="BC115" s="362"/>
      <c r="BD115" s="362"/>
      <c r="BE115" s="362"/>
      <c r="BF115" s="362"/>
      <c r="BG115" s="362"/>
      <c r="BH115" s="362"/>
      <c r="BI115" s="362"/>
      <c r="BJ115" s="362"/>
      <c r="BK115" s="362"/>
      <c r="BL115" s="362"/>
      <c r="BM115" s="362"/>
      <c r="BN115" s="362"/>
      <c r="BO115" s="362"/>
      <c r="BP115" s="362"/>
      <c r="BQ115" s="362"/>
      <c r="BR115" s="362"/>
      <c r="BS115" s="362"/>
      <c r="BT115" s="362"/>
      <c r="BU115" s="362"/>
      <c r="BV115" s="362"/>
      <c r="BW115" s="362"/>
      <c r="BX115" s="362"/>
      <c r="BY115" s="362"/>
      <c r="BZ115" s="362"/>
      <c r="CA115" s="362"/>
      <c r="CB115" s="362"/>
      <c r="CC115" s="362"/>
      <c r="CD115" s="362"/>
      <c r="CE115" s="362"/>
      <c r="CF115" s="362"/>
      <c r="CG115" s="362"/>
      <c r="CH115" s="362"/>
      <c r="CI115" s="362"/>
      <c r="CJ115" s="362"/>
      <c r="CK115" s="362"/>
      <c r="CL115" s="362"/>
      <c r="CM115" s="362"/>
      <c r="CN115" s="362"/>
      <c r="CO115" s="362"/>
      <c r="CP115" s="362"/>
      <c r="CQ115" s="362"/>
      <c r="CR115" s="362"/>
      <c r="CS115" s="362"/>
      <c r="CT115" s="362"/>
      <c r="CU115" s="362"/>
      <c r="CV115" s="362"/>
      <c r="CW115" s="362"/>
      <c r="CX115" s="362"/>
      <c r="CY115" s="362"/>
      <c r="CZ115" s="362"/>
      <c r="DA115" s="362"/>
      <c r="DB115" s="362"/>
      <c r="DC115" s="362"/>
      <c r="DD115" s="362"/>
      <c r="DE115" s="362"/>
      <c r="DF115" s="362"/>
      <c r="DG115" s="362"/>
      <c r="DH115" s="362"/>
      <c r="DI115" s="362"/>
      <c r="DJ115" s="362"/>
      <c r="DK115" s="362"/>
      <c r="DL115" s="362"/>
      <c r="DM115" s="362"/>
      <c r="DN115" s="362"/>
      <c r="DO115" s="362"/>
      <c r="DP115" s="362"/>
      <c r="DQ115" s="362"/>
      <c r="DR115" s="362"/>
      <c r="DS115" s="362"/>
      <c r="DT115" s="362"/>
      <c r="DU115" s="362"/>
      <c r="DV115" s="362"/>
      <c r="DW115" s="362"/>
      <c r="DX115" s="362"/>
      <c r="DY115" s="362"/>
      <c r="DZ115" s="362"/>
      <c r="EA115" s="362"/>
      <c r="EB115" s="362"/>
      <c r="EC115" s="362"/>
      <c r="ED115" s="362"/>
      <c r="EE115" s="362"/>
      <c r="EF115" s="362"/>
      <c r="EG115" s="362"/>
      <c r="EH115" s="362"/>
      <c r="EI115" s="362"/>
      <c r="EJ115" s="362"/>
      <c r="EK115" s="362"/>
      <c r="EL115" s="362"/>
      <c r="EM115" s="362"/>
      <c r="EN115" s="362"/>
      <c r="EO115" s="362"/>
      <c r="EP115" s="362"/>
      <c r="EQ115" s="362"/>
      <c r="ER115" s="362"/>
      <c r="ES115" s="362"/>
      <c r="ET115" s="362"/>
      <c r="EU115" s="362"/>
      <c r="EV115" s="362"/>
      <c r="EW115" s="362"/>
      <c r="EX115" s="362"/>
      <c r="EY115" s="362"/>
      <c r="EZ115" s="362"/>
      <c r="FA115" s="362"/>
      <c r="FB115" s="362"/>
      <c r="FC115" s="362"/>
      <c r="FD115" s="362"/>
      <c r="FE115" s="362"/>
      <c r="FF115" s="362"/>
      <c r="FG115" s="362"/>
      <c r="FH115" s="362"/>
      <c r="FI115" s="362"/>
      <c r="FJ115" s="362"/>
      <c r="FK115" s="362"/>
      <c r="FL115" s="362"/>
      <c r="FM115" s="362"/>
      <c r="FN115" s="362"/>
      <c r="FO115" s="362"/>
      <c r="FP115" s="362"/>
      <c r="FQ115" s="362"/>
      <c r="FR115" s="362"/>
      <c r="FS115" s="362"/>
      <c r="FT115" s="362"/>
      <c r="FU115" s="362"/>
      <c r="FV115" s="362"/>
      <c r="FW115" s="362"/>
      <c r="FX115" s="362"/>
      <c r="FY115" s="362"/>
    </row>
    <row r="116" spans="1:182" x14ac:dyDescent="0.2">
      <c r="A116" s="363" t="s">
        <v>31</v>
      </c>
      <c r="B116" s="657">
        <v>27445.74</v>
      </c>
      <c r="C116" s="657">
        <v>27445.74</v>
      </c>
      <c r="D116" s="655">
        <v>30000</v>
      </c>
      <c r="E116" s="655">
        <v>30000</v>
      </c>
      <c r="F116" s="655">
        <v>30000</v>
      </c>
      <c r="G116" s="655">
        <v>30000</v>
      </c>
      <c r="H116" s="655">
        <v>30000</v>
      </c>
      <c r="I116" s="655">
        <v>30000</v>
      </c>
      <c r="J116" s="655">
        <v>30000</v>
      </c>
      <c r="K116" s="655">
        <v>30000</v>
      </c>
      <c r="L116" s="655">
        <v>30000</v>
      </c>
      <c r="M116" s="655">
        <v>30000</v>
      </c>
      <c r="N116" s="655">
        <v>30000</v>
      </c>
      <c r="O116" s="655">
        <v>30000</v>
      </c>
      <c r="P116" s="655">
        <v>30000</v>
      </c>
      <c r="Q116" s="655">
        <v>30000</v>
      </c>
      <c r="R116" s="655">
        <v>30000</v>
      </c>
      <c r="S116" s="655">
        <v>30000</v>
      </c>
      <c r="T116" s="655">
        <v>30000</v>
      </c>
      <c r="U116" s="655">
        <v>30000</v>
      </c>
      <c r="V116" s="655">
        <v>30000</v>
      </c>
      <c r="W116" s="655">
        <v>30000</v>
      </c>
      <c r="X116" s="655">
        <v>30000</v>
      </c>
      <c r="Y116" s="655">
        <v>30000</v>
      </c>
      <c r="Z116" s="655">
        <v>30000</v>
      </c>
      <c r="AA116" s="655">
        <v>30000</v>
      </c>
      <c r="AB116" s="655">
        <v>30000</v>
      </c>
      <c r="AC116" s="655">
        <v>30000</v>
      </c>
      <c r="AD116" s="655">
        <v>30000</v>
      </c>
      <c r="AE116" s="655">
        <v>30000</v>
      </c>
      <c r="AF116" s="655">
        <v>30000</v>
      </c>
      <c r="AG116" s="655">
        <v>30000</v>
      </c>
      <c r="AH116" s="655">
        <v>30000</v>
      </c>
      <c r="AI116" s="655">
        <v>30000</v>
      </c>
      <c r="AJ116" s="657">
        <v>27445.74</v>
      </c>
      <c r="AK116" s="657">
        <v>27445.74</v>
      </c>
      <c r="AL116" s="657">
        <v>27445.74</v>
      </c>
      <c r="AM116" s="657">
        <v>27445.74</v>
      </c>
      <c r="AN116" s="657">
        <v>27445.74</v>
      </c>
    </row>
    <row r="117" spans="1:182" x14ac:dyDescent="0.2">
      <c r="A117" s="363" t="s">
        <v>32</v>
      </c>
      <c r="B117" s="657">
        <v>62115</v>
      </c>
      <c r="C117" s="657">
        <v>62115</v>
      </c>
      <c r="D117" s="657">
        <v>63000</v>
      </c>
      <c r="E117" s="657">
        <v>63000</v>
      </c>
      <c r="F117" s="657">
        <v>63000</v>
      </c>
      <c r="G117" s="657">
        <v>63000</v>
      </c>
      <c r="H117" s="657">
        <v>63000</v>
      </c>
      <c r="I117" s="657">
        <v>63000</v>
      </c>
      <c r="J117" s="657">
        <v>63000</v>
      </c>
      <c r="K117" s="657">
        <v>63000</v>
      </c>
      <c r="L117" s="657">
        <v>63000</v>
      </c>
      <c r="M117" s="657">
        <v>63000</v>
      </c>
      <c r="N117" s="657">
        <v>63000</v>
      </c>
      <c r="O117" s="657">
        <v>63000</v>
      </c>
      <c r="P117" s="657">
        <v>63000</v>
      </c>
      <c r="Q117" s="657">
        <v>63000</v>
      </c>
      <c r="R117" s="657">
        <v>63000</v>
      </c>
      <c r="S117" s="657">
        <v>63000</v>
      </c>
      <c r="T117" s="657">
        <v>63000</v>
      </c>
      <c r="U117" s="657">
        <v>63000</v>
      </c>
      <c r="V117" s="657">
        <v>63000</v>
      </c>
      <c r="W117" s="657">
        <v>63000</v>
      </c>
      <c r="X117" s="657">
        <v>63000</v>
      </c>
      <c r="Y117" s="657">
        <v>63000</v>
      </c>
      <c r="Z117" s="657">
        <v>63000</v>
      </c>
      <c r="AA117" s="657">
        <v>63000</v>
      </c>
      <c r="AB117" s="657">
        <v>63000</v>
      </c>
      <c r="AC117" s="657">
        <v>63000</v>
      </c>
      <c r="AD117" s="657">
        <v>63000</v>
      </c>
      <c r="AE117" s="657">
        <v>63000</v>
      </c>
      <c r="AF117" s="657">
        <v>63000</v>
      </c>
      <c r="AG117" s="657">
        <v>63000</v>
      </c>
      <c r="AH117" s="657">
        <v>63000</v>
      </c>
      <c r="AI117" s="657">
        <v>63000</v>
      </c>
      <c r="AJ117" s="657">
        <v>62115</v>
      </c>
      <c r="AK117" s="657">
        <v>62115</v>
      </c>
      <c r="AL117" s="657">
        <v>62115</v>
      </c>
      <c r="AM117" s="657">
        <v>62115</v>
      </c>
      <c r="AN117" s="657">
        <v>62115</v>
      </c>
    </row>
    <row r="118" spans="1:182" x14ac:dyDescent="0.2">
      <c r="A118" s="363" t="s">
        <v>33</v>
      </c>
      <c r="B118" s="657">
        <v>1508.94</v>
      </c>
      <c r="C118" s="657">
        <v>1508.94</v>
      </c>
      <c r="D118" s="657">
        <v>2000</v>
      </c>
      <c r="E118" s="657">
        <v>2000</v>
      </c>
      <c r="F118" s="657">
        <v>2000</v>
      </c>
      <c r="G118" s="657">
        <v>2000</v>
      </c>
      <c r="H118" s="657">
        <v>2000</v>
      </c>
      <c r="I118" s="657">
        <v>2000</v>
      </c>
      <c r="J118" s="657">
        <v>2000</v>
      </c>
      <c r="K118" s="657">
        <v>2000</v>
      </c>
      <c r="L118" s="657">
        <v>2000</v>
      </c>
      <c r="M118" s="657">
        <v>2000</v>
      </c>
      <c r="N118" s="657">
        <v>2000</v>
      </c>
      <c r="O118" s="657">
        <v>2000</v>
      </c>
      <c r="P118" s="657">
        <v>2000</v>
      </c>
      <c r="Q118" s="657">
        <v>2000</v>
      </c>
      <c r="R118" s="657">
        <v>2000</v>
      </c>
      <c r="S118" s="657">
        <v>2000</v>
      </c>
      <c r="T118" s="657">
        <v>2000</v>
      </c>
      <c r="U118" s="657">
        <v>2000</v>
      </c>
      <c r="V118" s="657">
        <v>2000</v>
      </c>
      <c r="W118" s="657">
        <v>2000</v>
      </c>
      <c r="X118" s="657">
        <v>2000</v>
      </c>
      <c r="Y118" s="657">
        <v>2000</v>
      </c>
      <c r="Z118" s="657">
        <v>2000</v>
      </c>
      <c r="AA118" s="657">
        <v>2000</v>
      </c>
      <c r="AB118" s="657">
        <v>2000</v>
      </c>
      <c r="AC118" s="657">
        <v>2000</v>
      </c>
      <c r="AD118" s="657">
        <v>2000</v>
      </c>
      <c r="AE118" s="657">
        <v>2000</v>
      </c>
      <c r="AF118" s="657">
        <v>2000</v>
      </c>
      <c r="AG118" s="657">
        <v>2000</v>
      </c>
      <c r="AH118" s="657">
        <v>2000</v>
      </c>
      <c r="AI118" s="657">
        <v>2000</v>
      </c>
      <c r="AJ118" s="657">
        <v>1508.94</v>
      </c>
      <c r="AK118" s="657">
        <v>1508.94</v>
      </c>
      <c r="AL118" s="657">
        <v>1508.94</v>
      </c>
      <c r="AM118" s="657">
        <v>1508.94</v>
      </c>
      <c r="AN118" s="657">
        <v>1508.94</v>
      </c>
    </row>
    <row r="119" spans="1:182" x14ac:dyDescent="0.2">
      <c r="A119" s="363" t="s">
        <v>34</v>
      </c>
      <c r="B119" s="657">
        <v>77618.5</v>
      </c>
      <c r="C119" s="657">
        <v>77618.5</v>
      </c>
      <c r="D119" s="657">
        <v>78000</v>
      </c>
      <c r="E119" s="657">
        <v>78000</v>
      </c>
      <c r="F119" s="657">
        <v>78000</v>
      </c>
      <c r="G119" s="657">
        <v>78000</v>
      </c>
      <c r="H119" s="657">
        <v>78000</v>
      </c>
      <c r="I119" s="657">
        <v>78000</v>
      </c>
      <c r="J119" s="657">
        <v>78000</v>
      </c>
      <c r="K119" s="657">
        <v>78000</v>
      </c>
      <c r="L119" s="657">
        <v>78000</v>
      </c>
      <c r="M119" s="657">
        <v>78000</v>
      </c>
      <c r="N119" s="657">
        <v>78000</v>
      </c>
      <c r="O119" s="657">
        <v>78000</v>
      </c>
      <c r="P119" s="657">
        <v>78000</v>
      </c>
      <c r="Q119" s="657">
        <v>78000</v>
      </c>
      <c r="R119" s="657">
        <v>78000</v>
      </c>
      <c r="S119" s="657">
        <v>78000</v>
      </c>
      <c r="T119" s="657">
        <v>78000</v>
      </c>
      <c r="U119" s="657">
        <v>78000</v>
      </c>
      <c r="V119" s="657">
        <v>78000</v>
      </c>
      <c r="W119" s="657">
        <v>78000</v>
      </c>
      <c r="X119" s="657">
        <v>78000</v>
      </c>
      <c r="Y119" s="657">
        <v>78000</v>
      </c>
      <c r="Z119" s="657">
        <v>78000</v>
      </c>
      <c r="AA119" s="657">
        <v>78000</v>
      </c>
      <c r="AB119" s="657">
        <v>78000</v>
      </c>
      <c r="AC119" s="657">
        <v>78000</v>
      </c>
      <c r="AD119" s="657">
        <v>78000</v>
      </c>
      <c r="AE119" s="657">
        <v>78000</v>
      </c>
      <c r="AF119" s="657">
        <v>78000</v>
      </c>
      <c r="AG119" s="657">
        <v>78000</v>
      </c>
      <c r="AH119" s="657">
        <v>78000</v>
      </c>
      <c r="AI119" s="657">
        <v>78000</v>
      </c>
      <c r="AJ119" s="657">
        <v>77618.5</v>
      </c>
      <c r="AK119" s="657">
        <v>77618.5</v>
      </c>
      <c r="AL119" s="657">
        <v>77618.5</v>
      </c>
      <c r="AM119" s="657">
        <v>77618.5</v>
      </c>
      <c r="AN119" s="657">
        <v>77618.5</v>
      </c>
    </row>
    <row r="120" spans="1:182" x14ac:dyDescent="0.2">
      <c r="A120" s="363" t="s">
        <v>471</v>
      </c>
      <c r="B120" s="657">
        <v>2384.61</v>
      </c>
      <c r="C120" s="657">
        <v>2384.61</v>
      </c>
      <c r="D120" s="657">
        <v>3000</v>
      </c>
      <c r="E120" s="657">
        <v>3000</v>
      </c>
      <c r="F120" s="657">
        <v>3000</v>
      </c>
      <c r="G120" s="657">
        <v>3000</v>
      </c>
      <c r="H120" s="657">
        <v>3000</v>
      </c>
      <c r="I120" s="657">
        <v>3000</v>
      </c>
      <c r="J120" s="657">
        <v>3000</v>
      </c>
      <c r="K120" s="657">
        <v>3000</v>
      </c>
      <c r="L120" s="657">
        <v>3000</v>
      </c>
      <c r="M120" s="657">
        <v>3000</v>
      </c>
      <c r="N120" s="657">
        <v>3000</v>
      </c>
      <c r="O120" s="657">
        <v>3000</v>
      </c>
      <c r="P120" s="657">
        <v>3000</v>
      </c>
      <c r="Q120" s="657">
        <v>3000</v>
      </c>
      <c r="R120" s="657">
        <v>3000</v>
      </c>
      <c r="S120" s="657">
        <v>3000</v>
      </c>
      <c r="T120" s="657">
        <v>3000</v>
      </c>
      <c r="U120" s="657">
        <v>3000</v>
      </c>
      <c r="V120" s="657">
        <v>3000</v>
      </c>
      <c r="W120" s="657">
        <v>3000</v>
      </c>
      <c r="X120" s="657">
        <v>3000</v>
      </c>
      <c r="Y120" s="657">
        <v>3000</v>
      </c>
      <c r="Z120" s="657">
        <v>3000</v>
      </c>
      <c r="AA120" s="657">
        <v>3000</v>
      </c>
      <c r="AB120" s="657">
        <v>3000</v>
      </c>
      <c r="AC120" s="657">
        <v>3000</v>
      </c>
      <c r="AD120" s="657">
        <v>3000</v>
      </c>
      <c r="AE120" s="657">
        <v>3000</v>
      </c>
      <c r="AF120" s="657">
        <v>3000</v>
      </c>
      <c r="AG120" s="657">
        <v>3000</v>
      </c>
      <c r="AH120" s="657">
        <v>3000</v>
      </c>
      <c r="AI120" s="657">
        <v>3000</v>
      </c>
      <c r="AJ120" s="657">
        <v>2384.61</v>
      </c>
      <c r="AK120" s="657">
        <v>2384.61</v>
      </c>
      <c r="AL120" s="657">
        <v>2384.61</v>
      </c>
      <c r="AM120" s="657">
        <v>2384.61</v>
      </c>
      <c r="AN120" s="657">
        <v>2384.61</v>
      </c>
    </row>
    <row r="121" spans="1:182" x14ac:dyDescent="0.2">
      <c r="A121" s="771" t="s">
        <v>615</v>
      </c>
      <c r="B121" s="775">
        <f>SUM(B122:B124)</f>
        <v>0</v>
      </c>
      <c r="C121" s="775">
        <f t="shared" ref="C121" si="25">SUM(C122:C124)</f>
        <v>0</v>
      </c>
      <c r="D121" s="775">
        <f t="shared" ref="D121" si="26">SUM(D122:D124)</f>
        <v>0</v>
      </c>
      <c r="E121" s="775">
        <f t="shared" ref="E121" si="27">SUM(E122:E124)</f>
        <v>0</v>
      </c>
      <c r="F121" s="775">
        <f t="shared" ref="F121" si="28">SUM(F122:F124)</f>
        <v>0</v>
      </c>
      <c r="G121" s="775">
        <f t="shared" ref="G121" si="29">SUM(G122:G124)</f>
        <v>0</v>
      </c>
      <c r="H121" s="775">
        <f t="shared" ref="H121" si="30">SUM(H122:H124)</f>
        <v>0</v>
      </c>
      <c r="I121" s="775">
        <f t="shared" ref="I121" si="31">SUM(I122:I124)</f>
        <v>0</v>
      </c>
      <c r="J121" s="775">
        <f t="shared" ref="J121" si="32">SUM(J122:J124)</f>
        <v>0</v>
      </c>
      <c r="K121" s="775">
        <f t="shared" ref="K121" si="33">SUM(K122:K124)</f>
        <v>0</v>
      </c>
      <c r="L121" s="775">
        <f t="shared" ref="L121" si="34">SUM(L122:L124)</f>
        <v>0</v>
      </c>
      <c r="M121" s="775">
        <f t="shared" ref="M121" si="35">SUM(M122:M124)</f>
        <v>0</v>
      </c>
      <c r="N121" s="775">
        <f t="shared" ref="N121" si="36">SUM(N122:N124)</f>
        <v>0</v>
      </c>
      <c r="O121" s="775">
        <f>SUM(O122:O124)</f>
        <v>0</v>
      </c>
      <c r="P121" s="775">
        <f t="shared" ref="P121" si="37">SUM(P122:P124)</f>
        <v>0</v>
      </c>
      <c r="Q121" s="775">
        <f t="shared" ref="Q121" si="38">SUM(Q122:Q124)</f>
        <v>0</v>
      </c>
      <c r="R121" s="775">
        <f t="shared" ref="R121" si="39">SUM(R122:R124)</f>
        <v>0</v>
      </c>
      <c r="S121" s="775">
        <f t="shared" ref="S121" si="40">SUM(S122:S124)</f>
        <v>0</v>
      </c>
      <c r="T121" s="775">
        <f t="shared" ref="T121" si="41">SUM(T122:T124)</f>
        <v>0</v>
      </c>
      <c r="U121" s="775">
        <f t="shared" ref="U121" si="42">SUM(U122:U124)</f>
        <v>0</v>
      </c>
      <c r="V121" s="775">
        <f t="shared" ref="V121" si="43">SUM(V122:V124)</f>
        <v>0</v>
      </c>
      <c r="W121" s="775">
        <f t="shared" ref="W121" si="44">SUM(W122:W124)</f>
        <v>0</v>
      </c>
      <c r="X121" s="775">
        <f t="shared" ref="X121" si="45">SUM(X122:X124)</f>
        <v>0</v>
      </c>
      <c r="Y121" s="775">
        <f t="shared" ref="Y121" si="46">SUM(Y122:Y124)</f>
        <v>0</v>
      </c>
      <c r="Z121" s="775">
        <f t="shared" ref="Z121" si="47">SUM(Z122:Z124)</f>
        <v>0</v>
      </c>
      <c r="AA121" s="775">
        <f t="shared" ref="AA121" si="48">SUM(AA122:AA124)</f>
        <v>0</v>
      </c>
      <c r="AB121" s="775">
        <f t="shared" ref="AB121" si="49">SUM(AB122:AB124)</f>
        <v>0</v>
      </c>
      <c r="AC121" s="775">
        <f t="shared" ref="AC121" si="50">SUM(AC122:AC124)</f>
        <v>0</v>
      </c>
      <c r="AD121" s="775">
        <f t="shared" ref="AD121" si="51">SUM(AD122:AD124)</f>
        <v>0</v>
      </c>
      <c r="AE121" s="775">
        <f t="shared" ref="AE121" si="52">SUM(AE122:AE124)</f>
        <v>0</v>
      </c>
      <c r="AF121" s="775">
        <f t="shared" ref="AF121" si="53">SUM(AF122:AF124)</f>
        <v>0</v>
      </c>
      <c r="AG121" s="775">
        <f t="shared" ref="AG121" si="54">SUM(AG122:AG124)</f>
        <v>0</v>
      </c>
      <c r="AH121" s="775">
        <f t="shared" ref="AH121" si="55">SUM(AH122:AH124)</f>
        <v>0</v>
      </c>
      <c r="AI121" s="775">
        <f t="shared" ref="AI121" si="56">SUM(AI122:AI124)</f>
        <v>0</v>
      </c>
      <c r="AJ121" s="775">
        <f t="shared" ref="AJ121" si="57">SUM(AJ122:AJ124)</f>
        <v>0</v>
      </c>
      <c r="AK121" s="775">
        <f t="shared" ref="AK121" si="58">SUM(AK122:AK124)</f>
        <v>0</v>
      </c>
      <c r="AL121" s="775">
        <f t="shared" ref="AL121" si="59">SUM(AL122:AL124)</f>
        <v>0</v>
      </c>
      <c r="AM121" s="775">
        <f t="shared" ref="AM121" si="60">SUM(AM122:AM124)</f>
        <v>0</v>
      </c>
      <c r="AN121" s="775">
        <f t="shared" ref="AN121" si="61">SUM(AN122:AN124)</f>
        <v>0</v>
      </c>
      <c r="AO121" s="362"/>
      <c r="AP121" s="362"/>
      <c r="AQ121" s="362"/>
      <c r="AR121" s="362"/>
      <c r="AS121" s="362"/>
      <c r="AT121" s="362"/>
      <c r="AU121" s="362"/>
      <c r="AV121" s="362"/>
      <c r="AW121" s="362"/>
      <c r="AX121" s="362"/>
      <c r="AY121" s="362"/>
      <c r="AZ121" s="362"/>
      <c r="BA121" s="362"/>
      <c r="BB121" s="362"/>
      <c r="BC121" s="362"/>
      <c r="BD121" s="362"/>
      <c r="BE121" s="362"/>
      <c r="BF121" s="362"/>
      <c r="BG121" s="362"/>
      <c r="BH121" s="362"/>
      <c r="BI121" s="362"/>
      <c r="BJ121" s="362"/>
      <c r="BK121" s="362"/>
      <c r="BL121" s="362"/>
      <c r="BM121" s="362"/>
      <c r="BN121" s="362"/>
      <c r="BO121" s="362"/>
      <c r="BP121" s="362"/>
      <c r="BQ121" s="362"/>
      <c r="BR121" s="362"/>
      <c r="BS121" s="362"/>
      <c r="BT121" s="362"/>
      <c r="BU121" s="362"/>
      <c r="BV121" s="362"/>
      <c r="BW121" s="362"/>
      <c r="BX121" s="362"/>
      <c r="BY121" s="362"/>
      <c r="BZ121" s="362"/>
      <c r="CA121" s="362"/>
      <c r="CB121" s="362"/>
      <c r="CC121" s="362"/>
      <c r="CD121" s="362"/>
      <c r="CE121" s="362"/>
      <c r="CF121" s="362"/>
      <c r="CG121" s="362"/>
      <c r="CH121" s="362"/>
      <c r="CI121" s="362"/>
      <c r="CJ121" s="362"/>
      <c r="CK121" s="362"/>
      <c r="CL121" s="362"/>
      <c r="CM121" s="362"/>
      <c r="CN121" s="362"/>
      <c r="CO121" s="362"/>
      <c r="CP121" s="362"/>
      <c r="CQ121" s="362"/>
      <c r="CR121" s="362"/>
      <c r="CS121" s="362"/>
      <c r="CT121" s="362"/>
      <c r="CU121" s="362"/>
      <c r="CV121" s="362"/>
      <c r="CW121" s="362"/>
      <c r="CX121" s="362"/>
      <c r="CY121" s="362"/>
      <c r="CZ121" s="362"/>
      <c r="DA121" s="362"/>
      <c r="DB121" s="362"/>
      <c r="DC121" s="362"/>
      <c r="DD121" s="362"/>
      <c r="DE121" s="362"/>
      <c r="DF121" s="362"/>
      <c r="DG121" s="362"/>
      <c r="DH121" s="362"/>
      <c r="DI121" s="362"/>
      <c r="DJ121" s="362"/>
      <c r="DK121" s="362"/>
      <c r="DL121" s="362"/>
      <c r="DM121" s="362"/>
      <c r="DN121" s="362"/>
      <c r="DO121" s="362"/>
      <c r="DP121" s="362"/>
      <c r="DQ121" s="362"/>
      <c r="DR121" s="362"/>
      <c r="DS121" s="362"/>
      <c r="DT121" s="362"/>
      <c r="DU121" s="362"/>
      <c r="DV121" s="362"/>
      <c r="DW121" s="362"/>
      <c r="DX121" s="362"/>
      <c r="DY121" s="362"/>
      <c r="DZ121" s="362"/>
      <c r="EA121" s="362"/>
      <c r="EB121" s="362"/>
      <c r="EC121" s="362"/>
      <c r="ED121" s="362"/>
      <c r="EE121" s="362"/>
      <c r="EF121" s="362"/>
      <c r="EG121" s="362"/>
      <c r="EH121" s="362"/>
      <c r="EI121" s="362"/>
      <c r="EJ121" s="362"/>
      <c r="EK121" s="362"/>
      <c r="EL121" s="362"/>
      <c r="EM121" s="362"/>
      <c r="EN121" s="362"/>
      <c r="EO121" s="362"/>
      <c r="EP121" s="362"/>
      <c r="EQ121" s="362"/>
      <c r="ER121" s="362"/>
      <c r="ES121" s="362"/>
      <c r="ET121" s="362"/>
      <c r="EU121" s="362"/>
      <c r="EV121" s="362"/>
      <c r="EW121" s="362"/>
      <c r="EX121" s="362"/>
      <c r="EY121" s="362"/>
      <c r="EZ121" s="362"/>
      <c r="FA121" s="362"/>
      <c r="FB121" s="362"/>
      <c r="FC121" s="362"/>
      <c r="FD121" s="362"/>
      <c r="FE121" s="362"/>
      <c r="FF121" s="362"/>
      <c r="FG121" s="362"/>
      <c r="FH121" s="362"/>
      <c r="FI121" s="362"/>
      <c r="FJ121" s="362"/>
      <c r="FK121" s="362"/>
      <c r="FL121" s="362"/>
      <c r="FM121" s="362"/>
      <c r="FN121" s="362"/>
      <c r="FO121" s="362"/>
      <c r="FP121" s="362"/>
      <c r="FQ121" s="362"/>
      <c r="FR121" s="362"/>
      <c r="FS121" s="362"/>
      <c r="FT121" s="362"/>
      <c r="FU121" s="362"/>
      <c r="FV121" s="362"/>
      <c r="FW121" s="362"/>
      <c r="FX121" s="362"/>
      <c r="FY121" s="362"/>
    </row>
    <row r="122" spans="1:182" s="78" customFormat="1" x14ac:dyDescent="0.2">
      <c r="A122" s="774" t="s">
        <v>616</v>
      </c>
      <c r="B122" s="773"/>
      <c r="C122" s="773"/>
      <c r="D122" s="773"/>
      <c r="E122" s="773"/>
      <c r="F122" s="773"/>
      <c r="G122" s="773"/>
      <c r="H122" s="773"/>
      <c r="I122" s="640"/>
      <c r="J122" s="773"/>
      <c r="K122" s="773"/>
      <c r="L122" s="773"/>
      <c r="M122" s="773"/>
      <c r="N122" s="773"/>
      <c r="O122" s="773"/>
      <c r="P122" s="773"/>
      <c r="Q122" s="773"/>
      <c r="R122" s="773"/>
      <c r="S122" s="773"/>
      <c r="T122" s="773"/>
      <c r="U122" s="773"/>
      <c r="V122" s="773"/>
      <c r="W122" s="773"/>
      <c r="X122" s="773"/>
      <c r="Y122" s="773"/>
      <c r="Z122" s="773"/>
      <c r="AA122" s="773"/>
      <c r="AB122" s="773"/>
      <c r="AC122" s="773"/>
      <c r="AD122" s="773"/>
      <c r="AE122" s="773"/>
      <c r="AF122" s="773"/>
      <c r="AG122" s="773"/>
      <c r="AH122" s="773"/>
      <c r="AI122" s="773"/>
      <c r="AJ122" s="773"/>
      <c r="AK122" s="773"/>
      <c r="AL122" s="773"/>
      <c r="AM122" s="773"/>
      <c r="AN122" s="773"/>
      <c r="AO122" s="362"/>
      <c r="AP122" s="362"/>
      <c r="AQ122" s="362"/>
      <c r="AR122" s="362"/>
      <c r="AS122" s="362"/>
      <c r="AT122" s="362"/>
      <c r="AU122" s="362"/>
      <c r="AV122" s="362"/>
      <c r="AW122" s="362"/>
      <c r="AX122" s="362"/>
      <c r="AY122" s="362"/>
      <c r="AZ122" s="362"/>
      <c r="BA122" s="362"/>
      <c r="BB122" s="362"/>
      <c r="BC122" s="362"/>
      <c r="BD122" s="362"/>
      <c r="BE122" s="362"/>
      <c r="BF122" s="362"/>
      <c r="BG122" s="362"/>
      <c r="BH122" s="362"/>
      <c r="BI122" s="362"/>
      <c r="BJ122" s="362"/>
      <c r="BK122" s="362"/>
      <c r="BL122" s="362"/>
      <c r="BM122" s="362"/>
      <c r="BN122" s="362"/>
      <c r="BO122" s="362"/>
      <c r="BP122" s="362"/>
      <c r="BQ122" s="362"/>
      <c r="BR122" s="362"/>
      <c r="BS122" s="362"/>
      <c r="BT122" s="362"/>
      <c r="BU122" s="362"/>
      <c r="BV122" s="362"/>
      <c r="BW122" s="362"/>
      <c r="BX122" s="362"/>
      <c r="BY122" s="362"/>
      <c r="BZ122" s="362"/>
      <c r="CA122" s="362"/>
      <c r="CB122" s="362"/>
      <c r="CC122" s="362"/>
      <c r="CD122" s="362"/>
      <c r="CE122" s="362"/>
      <c r="CF122" s="362"/>
      <c r="CG122" s="362"/>
      <c r="CH122" s="362"/>
      <c r="CI122" s="362"/>
      <c r="CJ122" s="362"/>
      <c r="CK122" s="362"/>
      <c r="CL122" s="362"/>
      <c r="CM122" s="362"/>
      <c r="CN122" s="362"/>
      <c r="CO122" s="362"/>
      <c r="CP122" s="362"/>
      <c r="CQ122" s="362"/>
      <c r="CR122" s="362"/>
      <c r="CS122" s="362"/>
      <c r="CT122" s="362"/>
      <c r="CU122" s="362"/>
      <c r="CV122" s="362"/>
      <c r="CW122" s="362"/>
      <c r="CX122" s="362"/>
      <c r="CY122" s="362"/>
      <c r="CZ122" s="362"/>
      <c r="DA122" s="362"/>
      <c r="DB122" s="362"/>
      <c r="DC122" s="362"/>
      <c r="DD122" s="362"/>
      <c r="DE122" s="362"/>
      <c r="DF122" s="362"/>
      <c r="DG122" s="362"/>
      <c r="DH122" s="362"/>
      <c r="DI122" s="362"/>
      <c r="DJ122" s="362"/>
      <c r="DK122" s="362"/>
      <c r="DL122" s="362"/>
      <c r="DM122" s="362"/>
      <c r="DN122" s="362"/>
      <c r="DO122" s="362"/>
      <c r="DP122" s="362"/>
      <c r="DQ122" s="362"/>
      <c r="DR122" s="362"/>
      <c r="DS122" s="362"/>
      <c r="DT122" s="362"/>
      <c r="DU122" s="362"/>
      <c r="DV122" s="362"/>
      <c r="DW122" s="362"/>
      <c r="DX122" s="362"/>
      <c r="DY122" s="362"/>
      <c r="DZ122" s="362"/>
      <c r="EA122" s="362"/>
      <c r="EB122" s="362"/>
      <c r="EC122" s="362"/>
      <c r="ED122" s="362"/>
      <c r="EE122" s="362"/>
      <c r="EF122" s="362"/>
      <c r="EG122" s="362"/>
      <c r="EH122" s="362"/>
      <c r="EI122" s="362"/>
      <c r="EJ122" s="362"/>
      <c r="EK122" s="362"/>
      <c r="EL122" s="362"/>
      <c r="EM122" s="362"/>
      <c r="EN122" s="362"/>
      <c r="EO122" s="362"/>
      <c r="EP122" s="362"/>
      <c r="EQ122" s="362"/>
      <c r="ER122" s="362"/>
      <c r="ES122" s="362"/>
      <c r="ET122" s="362"/>
      <c r="EU122" s="362"/>
      <c r="EV122" s="362"/>
      <c r="EW122" s="362"/>
      <c r="EX122" s="362"/>
      <c r="EY122" s="362"/>
      <c r="EZ122" s="362"/>
      <c r="FA122" s="362"/>
      <c r="FB122" s="362"/>
      <c r="FC122" s="362"/>
      <c r="FD122" s="362"/>
      <c r="FE122" s="362"/>
      <c r="FF122" s="362"/>
      <c r="FG122" s="362"/>
      <c r="FH122" s="362"/>
      <c r="FI122" s="362"/>
      <c r="FJ122" s="362"/>
      <c r="FK122" s="362"/>
      <c r="FL122" s="362"/>
      <c r="FM122" s="362"/>
      <c r="FN122" s="362"/>
      <c r="FO122" s="362"/>
      <c r="FP122" s="362"/>
      <c r="FQ122" s="362"/>
      <c r="FR122" s="362"/>
      <c r="FS122" s="362"/>
      <c r="FT122" s="362"/>
      <c r="FU122" s="362"/>
      <c r="FV122" s="362"/>
      <c r="FW122" s="362"/>
      <c r="FX122" s="362"/>
      <c r="FY122" s="362"/>
      <c r="FZ122" s="776"/>
    </row>
    <row r="123" spans="1:182" s="78" customFormat="1" x14ac:dyDescent="0.2">
      <c r="A123" s="774" t="s">
        <v>617</v>
      </c>
      <c r="B123" s="773"/>
      <c r="C123" s="773"/>
      <c r="D123" s="773"/>
      <c r="E123" s="773"/>
      <c r="F123" s="773"/>
      <c r="G123" s="773"/>
      <c r="H123" s="773"/>
      <c r="I123" s="640"/>
      <c r="J123" s="773"/>
      <c r="K123" s="773"/>
      <c r="L123" s="773"/>
      <c r="M123" s="773"/>
      <c r="N123" s="773"/>
      <c r="O123" s="773"/>
      <c r="P123" s="773"/>
      <c r="Q123" s="773"/>
      <c r="R123" s="773"/>
      <c r="S123" s="773"/>
      <c r="T123" s="773"/>
      <c r="U123" s="773"/>
      <c r="V123" s="773"/>
      <c r="W123" s="773"/>
      <c r="X123" s="773"/>
      <c r="Y123" s="773"/>
      <c r="Z123" s="773"/>
      <c r="AA123" s="773"/>
      <c r="AB123" s="773"/>
      <c r="AC123" s="773"/>
      <c r="AD123" s="773"/>
      <c r="AE123" s="773"/>
      <c r="AF123" s="773"/>
      <c r="AG123" s="773"/>
      <c r="AH123" s="773"/>
      <c r="AI123" s="773"/>
      <c r="AJ123" s="773"/>
      <c r="AK123" s="773"/>
      <c r="AL123" s="773"/>
      <c r="AM123" s="773"/>
      <c r="AN123" s="773"/>
      <c r="AO123" s="362"/>
      <c r="AP123" s="362"/>
      <c r="AQ123" s="362"/>
      <c r="AR123" s="362"/>
      <c r="AS123" s="362"/>
      <c r="AT123" s="362"/>
      <c r="AU123" s="362"/>
      <c r="AV123" s="362"/>
      <c r="AW123" s="362"/>
      <c r="AX123" s="362"/>
      <c r="AY123" s="362"/>
      <c r="AZ123" s="362"/>
      <c r="BA123" s="362"/>
      <c r="BB123" s="362"/>
      <c r="BC123" s="362"/>
      <c r="BD123" s="362"/>
      <c r="BE123" s="362"/>
      <c r="BF123" s="362"/>
      <c r="BG123" s="362"/>
      <c r="BH123" s="362"/>
      <c r="BI123" s="362"/>
      <c r="BJ123" s="362"/>
      <c r="BK123" s="362"/>
      <c r="BL123" s="362"/>
      <c r="BM123" s="362"/>
      <c r="BN123" s="362"/>
      <c r="BO123" s="362"/>
      <c r="BP123" s="362"/>
      <c r="BQ123" s="362"/>
      <c r="BR123" s="362"/>
      <c r="BS123" s="362"/>
      <c r="BT123" s="362"/>
      <c r="BU123" s="362"/>
      <c r="BV123" s="362"/>
      <c r="BW123" s="362"/>
      <c r="BX123" s="362"/>
      <c r="BY123" s="362"/>
      <c r="BZ123" s="362"/>
      <c r="CA123" s="362"/>
      <c r="CB123" s="362"/>
      <c r="CC123" s="362"/>
      <c r="CD123" s="362"/>
      <c r="CE123" s="362"/>
      <c r="CF123" s="362"/>
      <c r="CG123" s="362"/>
      <c r="CH123" s="362"/>
      <c r="CI123" s="362"/>
      <c r="CJ123" s="362"/>
      <c r="CK123" s="362"/>
      <c r="CL123" s="362"/>
      <c r="CM123" s="362"/>
      <c r="CN123" s="362"/>
      <c r="CO123" s="362"/>
      <c r="CP123" s="362"/>
      <c r="CQ123" s="362"/>
      <c r="CR123" s="362"/>
      <c r="CS123" s="362"/>
      <c r="CT123" s="362"/>
      <c r="CU123" s="362"/>
      <c r="CV123" s="362"/>
      <c r="CW123" s="362"/>
      <c r="CX123" s="362"/>
      <c r="CY123" s="362"/>
      <c r="CZ123" s="362"/>
      <c r="DA123" s="362"/>
      <c r="DB123" s="362"/>
      <c r="DC123" s="362"/>
      <c r="DD123" s="362"/>
      <c r="DE123" s="362"/>
      <c r="DF123" s="362"/>
      <c r="DG123" s="362"/>
      <c r="DH123" s="362"/>
      <c r="DI123" s="362"/>
      <c r="DJ123" s="362"/>
      <c r="DK123" s="362"/>
      <c r="DL123" s="362"/>
      <c r="DM123" s="362"/>
      <c r="DN123" s="362"/>
      <c r="DO123" s="362"/>
      <c r="DP123" s="362"/>
      <c r="DQ123" s="362"/>
      <c r="DR123" s="362"/>
      <c r="DS123" s="362"/>
      <c r="DT123" s="362"/>
      <c r="DU123" s="362"/>
      <c r="DV123" s="362"/>
      <c r="DW123" s="362"/>
      <c r="DX123" s="362"/>
      <c r="DY123" s="362"/>
      <c r="DZ123" s="362"/>
      <c r="EA123" s="362"/>
      <c r="EB123" s="362"/>
      <c r="EC123" s="362"/>
      <c r="ED123" s="362"/>
      <c r="EE123" s="362"/>
      <c r="EF123" s="362"/>
      <c r="EG123" s="362"/>
      <c r="EH123" s="362"/>
      <c r="EI123" s="362"/>
      <c r="EJ123" s="362"/>
      <c r="EK123" s="362"/>
      <c r="EL123" s="362"/>
      <c r="EM123" s="362"/>
      <c r="EN123" s="362"/>
      <c r="EO123" s="362"/>
      <c r="EP123" s="362"/>
      <c r="EQ123" s="362"/>
      <c r="ER123" s="362"/>
      <c r="ES123" s="362"/>
      <c r="ET123" s="362"/>
      <c r="EU123" s="362"/>
      <c r="EV123" s="362"/>
      <c r="EW123" s="362"/>
      <c r="EX123" s="362"/>
      <c r="EY123" s="362"/>
      <c r="EZ123" s="362"/>
      <c r="FA123" s="362"/>
      <c r="FB123" s="362"/>
      <c r="FC123" s="362"/>
      <c r="FD123" s="362"/>
      <c r="FE123" s="362"/>
      <c r="FF123" s="362"/>
      <c r="FG123" s="362"/>
      <c r="FH123" s="362"/>
      <c r="FI123" s="362"/>
      <c r="FJ123" s="362"/>
      <c r="FK123" s="362"/>
      <c r="FL123" s="362"/>
      <c r="FM123" s="362"/>
      <c r="FN123" s="362"/>
      <c r="FO123" s="362"/>
      <c r="FP123" s="362"/>
      <c r="FQ123" s="362"/>
      <c r="FR123" s="362"/>
      <c r="FS123" s="362"/>
      <c r="FT123" s="362"/>
      <c r="FU123" s="362"/>
      <c r="FV123" s="362"/>
      <c r="FW123" s="362"/>
      <c r="FX123" s="362"/>
      <c r="FY123" s="362"/>
      <c r="FZ123" s="776"/>
    </row>
    <row r="124" spans="1:182" s="78" customFormat="1" x14ac:dyDescent="0.2">
      <c r="A124" s="774" t="s">
        <v>618</v>
      </c>
      <c r="B124" s="656"/>
      <c r="C124" s="656"/>
      <c r="D124" s="656"/>
      <c r="E124" s="656"/>
      <c r="F124" s="656"/>
      <c r="G124" s="656"/>
      <c r="H124" s="656"/>
      <c r="I124" s="656"/>
      <c r="J124" s="656"/>
      <c r="K124" s="656"/>
      <c r="L124" s="656"/>
      <c r="M124" s="656"/>
      <c r="N124" s="656"/>
      <c r="O124" s="656"/>
      <c r="P124" s="656"/>
      <c r="Q124" s="656"/>
      <c r="R124" s="656"/>
      <c r="S124" s="656"/>
      <c r="T124" s="656"/>
      <c r="U124" s="656"/>
      <c r="V124" s="656"/>
      <c r="W124" s="656"/>
      <c r="X124" s="656"/>
      <c r="Y124" s="656"/>
      <c r="Z124" s="656"/>
      <c r="AA124" s="656"/>
      <c r="AB124" s="656"/>
      <c r="AC124" s="656"/>
      <c r="AD124" s="656"/>
      <c r="AE124" s="656"/>
      <c r="AF124" s="656"/>
      <c r="AG124" s="656"/>
      <c r="AH124" s="656"/>
      <c r="AI124" s="656"/>
      <c r="AJ124" s="656"/>
      <c r="AK124" s="656"/>
      <c r="AL124" s="656"/>
      <c r="AM124" s="656"/>
      <c r="AN124" s="656"/>
      <c r="AO124" s="362"/>
      <c r="AP124" s="362"/>
      <c r="AQ124" s="362"/>
      <c r="AR124" s="362"/>
      <c r="AS124" s="362"/>
      <c r="AT124" s="362"/>
      <c r="AU124" s="362"/>
      <c r="AV124" s="362"/>
      <c r="AW124" s="362"/>
      <c r="AX124" s="362"/>
      <c r="AY124" s="362"/>
      <c r="AZ124" s="362"/>
      <c r="BA124" s="362"/>
      <c r="BB124" s="362"/>
      <c r="BC124" s="362"/>
      <c r="BD124" s="362"/>
      <c r="BE124" s="362"/>
      <c r="BF124" s="362"/>
      <c r="BG124" s="362"/>
      <c r="BH124" s="362"/>
      <c r="BI124" s="362"/>
      <c r="BJ124" s="362"/>
      <c r="BK124" s="362"/>
      <c r="BL124" s="362"/>
      <c r="BM124" s="362"/>
      <c r="BN124" s="362"/>
      <c r="BO124" s="362"/>
      <c r="BP124" s="362"/>
      <c r="BQ124" s="362"/>
      <c r="BR124" s="362"/>
      <c r="BS124" s="362"/>
      <c r="BT124" s="362"/>
      <c r="BU124" s="362"/>
      <c r="BV124" s="362"/>
      <c r="BW124" s="362"/>
      <c r="BX124" s="362"/>
      <c r="BY124" s="362"/>
      <c r="BZ124" s="362"/>
      <c r="CA124" s="362"/>
      <c r="CB124" s="362"/>
      <c r="CC124" s="362"/>
      <c r="CD124" s="362"/>
      <c r="CE124" s="362"/>
      <c r="CF124" s="362"/>
      <c r="CG124" s="362"/>
      <c r="CH124" s="362"/>
      <c r="CI124" s="362"/>
      <c r="CJ124" s="362"/>
      <c r="CK124" s="362"/>
      <c r="CL124" s="362"/>
      <c r="CM124" s="362"/>
      <c r="CN124" s="362"/>
      <c r="CO124" s="362"/>
      <c r="CP124" s="362"/>
      <c r="CQ124" s="362"/>
      <c r="CR124" s="362"/>
      <c r="CS124" s="362"/>
      <c r="CT124" s="362"/>
      <c r="CU124" s="362"/>
      <c r="CV124" s="362"/>
      <c r="CW124" s="362"/>
      <c r="CX124" s="362"/>
      <c r="CY124" s="362"/>
      <c r="CZ124" s="362"/>
      <c r="DA124" s="362"/>
      <c r="DB124" s="362"/>
      <c r="DC124" s="362"/>
      <c r="DD124" s="362"/>
      <c r="DE124" s="362"/>
      <c r="DF124" s="362"/>
      <c r="DG124" s="362"/>
      <c r="DH124" s="362"/>
      <c r="DI124" s="362"/>
      <c r="DJ124" s="362"/>
      <c r="DK124" s="362"/>
      <c r="DL124" s="362"/>
      <c r="DM124" s="362"/>
      <c r="DN124" s="362"/>
      <c r="DO124" s="362"/>
      <c r="DP124" s="362"/>
      <c r="DQ124" s="362"/>
      <c r="DR124" s="362"/>
      <c r="DS124" s="362"/>
      <c r="DT124" s="362"/>
      <c r="DU124" s="362"/>
      <c r="DV124" s="362"/>
      <c r="DW124" s="362"/>
      <c r="DX124" s="362"/>
      <c r="DY124" s="362"/>
      <c r="DZ124" s="362"/>
      <c r="EA124" s="362"/>
      <c r="EB124" s="362"/>
      <c r="EC124" s="362"/>
      <c r="ED124" s="362"/>
      <c r="EE124" s="362"/>
      <c r="EF124" s="362"/>
      <c r="EG124" s="362"/>
      <c r="EH124" s="362"/>
      <c r="EI124" s="362"/>
      <c r="EJ124" s="362"/>
      <c r="EK124" s="362"/>
      <c r="EL124" s="362"/>
      <c r="EM124" s="362"/>
      <c r="EN124" s="362"/>
      <c r="EO124" s="362"/>
      <c r="EP124" s="362"/>
      <c r="EQ124" s="362"/>
      <c r="ER124" s="362"/>
      <c r="ES124" s="362"/>
      <c r="ET124" s="362"/>
      <c r="EU124" s="362"/>
      <c r="EV124" s="362"/>
      <c r="EW124" s="362"/>
      <c r="EX124" s="362"/>
      <c r="EY124" s="362"/>
      <c r="EZ124" s="362"/>
      <c r="FA124" s="362"/>
      <c r="FB124" s="362"/>
      <c r="FC124" s="362"/>
      <c r="FD124" s="362"/>
      <c r="FE124" s="362"/>
      <c r="FF124" s="362"/>
      <c r="FG124" s="362"/>
      <c r="FH124" s="362"/>
      <c r="FI124" s="362"/>
      <c r="FJ124" s="362"/>
      <c r="FK124" s="362"/>
      <c r="FL124" s="362"/>
      <c r="FM124" s="362"/>
      <c r="FN124" s="362"/>
      <c r="FO124" s="362"/>
      <c r="FP124" s="362"/>
      <c r="FQ124" s="362"/>
      <c r="FR124" s="362"/>
      <c r="FS124" s="362"/>
      <c r="FT124" s="362"/>
      <c r="FU124" s="362"/>
      <c r="FV124" s="362"/>
      <c r="FW124" s="362"/>
      <c r="FX124" s="362"/>
      <c r="FY124" s="362"/>
      <c r="FZ124" s="776"/>
    </row>
    <row r="125" spans="1:182" x14ac:dyDescent="0.2">
      <c r="A125" s="363" t="s">
        <v>35</v>
      </c>
      <c r="B125" s="660"/>
      <c r="C125" s="660"/>
      <c r="D125" s="660"/>
      <c r="E125" s="660"/>
      <c r="F125" s="660"/>
      <c r="G125" s="660"/>
      <c r="H125" s="660"/>
      <c r="I125" s="660"/>
      <c r="J125" s="660"/>
      <c r="K125" s="660"/>
      <c r="L125" s="660"/>
      <c r="M125" s="660"/>
      <c r="N125" s="660"/>
      <c r="O125" s="660"/>
      <c r="P125" s="660"/>
      <c r="Q125" s="660"/>
      <c r="R125" s="660"/>
      <c r="S125" s="660"/>
      <c r="T125" s="660"/>
      <c r="U125" s="660"/>
      <c r="V125" s="660"/>
      <c r="W125" s="660"/>
      <c r="X125" s="660"/>
      <c r="Y125" s="660"/>
      <c r="Z125" s="660"/>
      <c r="AA125" s="660"/>
      <c r="AB125" s="660"/>
      <c r="AC125" s="660"/>
      <c r="AD125" s="660"/>
      <c r="AE125" s="660"/>
      <c r="AF125" s="660"/>
      <c r="AG125" s="660"/>
      <c r="AH125" s="660"/>
      <c r="AI125" s="660"/>
      <c r="AJ125" s="660"/>
      <c r="AK125" s="660"/>
      <c r="AL125" s="660"/>
      <c r="AM125" s="660"/>
      <c r="AN125" s="660"/>
    </row>
    <row r="126" spans="1:182" x14ac:dyDescent="0.2">
      <c r="A126" s="78" t="s">
        <v>36</v>
      </c>
      <c r="B126" s="657">
        <v>59952</v>
      </c>
      <c r="C126" s="657">
        <v>59952</v>
      </c>
      <c r="D126" s="657">
        <v>60000</v>
      </c>
      <c r="E126" s="657">
        <v>60000</v>
      </c>
      <c r="F126" s="657">
        <v>60000</v>
      </c>
      <c r="G126" s="657">
        <v>60000</v>
      </c>
      <c r="H126" s="657">
        <v>60000</v>
      </c>
      <c r="I126" s="657">
        <v>60000</v>
      </c>
      <c r="J126" s="657">
        <v>60000</v>
      </c>
      <c r="K126" s="657">
        <v>60000</v>
      </c>
      <c r="L126" s="657">
        <v>60000</v>
      </c>
      <c r="M126" s="657">
        <v>60000</v>
      </c>
      <c r="N126" s="657">
        <v>60000</v>
      </c>
      <c r="O126" s="657">
        <v>60000</v>
      </c>
      <c r="P126" s="657">
        <v>60000</v>
      </c>
      <c r="Q126" s="657">
        <v>60000</v>
      </c>
      <c r="R126" s="657">
        <v>60000</v>
      </c>
      <c r="S126" s="657">
        <v>60000</v>
      </c>
      <c r="T126" s="657">
        <v>60000</v>
      </c>
      <c r="U126" s="657">
        <v>60000</v>
      </c>
      <c r="V126" s="657">
        <v>60000</v>
      </c>
      <c r="W126" s="657">
        <v>60000</v>
      </c>
      <c r="X126" s="657">
        <v>60000</v>
      </c>
      <c r="Y126" s="657">
        <v>60000</v>
      </c>
      <c r="Z126" s="657">
        <v>60000</v>
      </c>
      <c r="AA126" s="657">
        <v>60000</v>
      </c>
      <c r="AB126" s="657">
        <v>60000</v>
      </c>
      <c r="AC126" s="657">
        <v>60000</v>
      </c>
      <c r="AD126" s="657">
        <v>60000</v>
      </c>
      <c r="AE126" s="657">
        <v>60000</v>
      </c>
      <c r="AF126" s="657">
        <v>60000</v>
      </c>
      <c r="AG126" s="657">
        <v>60000</v>
      </c>
      <c r="AH126" s="657">
        <v>60000</v>
      </c>
      <c r="AI126" s="657">
        <v>60000</v>
      </c>
      <c r="AJ126" s="657">
        <v>59953</v>
      </c>
      <c r="AK126" s="657">
        <v>59954</v>
      </c>
      <c r="AL126" s="657">
        <v>59955</v>
      </c>
      <c r="AM126" s="657">
        <v>59956</v>
      </c>
      <c r="AN126" s="657">
        <v>59957</v>
      </c>
    </row>
    <row r="127" spans="1:182" x14ac:dyDescent="0.2">
      <c r="A127" s="78" t="s">
        <v>37</v>
      </c>
      <c r="B127" s="658">
        <f>B126*0.2359</f>
        <v>14142.676799999999</v>
      </c>
      <c r="C127" s="658">
        <f>C126*0.2409</f>
        <v>14442.436799999999</v>
      </c>
      <c r="D127" s="658">
        <f t="shared" ref="D127:AI127" si="62">D126*0.2409</f>
        <v>14454</v>
      </c>
      <c r="E127" s="658">
        <f t="shared" si="62"/>
        <v>14454</v>
      </c>
      <c r="F127" s="658">
        <f t="shared" si="62"/>
        <v>14454</v>
      </c>
      <c r="G127" s="658">
        <f t="shared" si="62"/>
        <v>14454</v>
      </c>
      <c r="H127" s="658">
        <f t="shared" si="62"/>
        <v>14454</v>
      </c>
      <c r="I127" s="658">
        <f t="shared" si="62"/>
        <v>14454</v>
      </c>
      <c r="J127" s="658">
        <f t="shared" si="62"/>
        <v>14454</v>
      </c>
      <c r="K127" s="658">
        <f t="shared" si="62"/>
        <v>14454</v>
      </c>
      <c r="L127" s="658">
        <f t="shared" si="62"/>
        <v>14454</v>
      </c>
      <c r="M127" s="658">
        <f t="shared" si="62"/>
        <v>14454</v>
      </c>
      <c r="N127" s="658">
        <f t="shared" si="62"/>
        <v>14454</v>
      </c>
      <c r="O127" s="658">
        <f t="shared" si="62"/>
        <v>14454</v>
      </c>
      <c r="P127" s="658">
        <f t="shared" si="62"/>
        <v>14454</v>
      </c>
      <c r="Q127" s="658">
        <f t="shared" si="62"/>
        <v>14454</v>
      </c>
      <c r="R127" s="658">
        <f t="shared" si="62"/>
        <v>14454</v>
      </c>
      <c r="S127" s="658">
        <f t="shared" si="62"/>
        <v>14454</v>
      </c>
      <c r="T127" s="658">
        <f t="shared" si="62"/>
        <v>14454</v>
      </c>
      <c r="U127" s="658">
        <f t="shared" si="62"/>
        <v>14454</v>
      </c>
      <c r="V127" s="658">
        <f t="shared" si="62"/>
        <v>14454</v>
      </c>
      <c r="W127" s="658">
        <f t="shared" si="62"/>
        <v>14454</v>
      </c>
      <c r="X127" s="658">
        <f t="shared" si="62"/>
        <v>14454</v>
      </c>
      <c r="Y127" s="658">
        <f t="shared" si="62"/>
        <v>14454</v>
      </c>
      <c r="Z127" s="658">
        <f t="shared" si="62"/>
        <v>14454</v>
      </c>
      <c r="AA127" s="658">
        <f t="shared" si="62"/>
        <v>14454</v>
      </c>
      <c r="AB127" s="658">
        <f t="shared" si="62"/>
        <v>14454</v>
      </c>
      <c r="AC127" s="658">
        <f t="shared" si="62"/>
        <v>14454</v>
      </c>
      <c r="AD127" s="658">
        <f t="shared" si="62"/>
        <v>14454</v>
      </c>
      <c r="AE127" s="658">
        <f t="shared" si="62"/>
        <v>14454</v>
      </c>
      <c r="AF127" s="658">
        <f t="shared" si="62"/>
        <v>14454</v>
      </c>
      <c r="AG127" s="658">
        <f t="shared" si="62"/>
        <v>14454</v>
      </c>
      <c r="AH127" s="658">
        <f t="shared" si="62"/>
        <v>14454</v>
      </c>
      <c r="AI127" s="658">
        <f t="shared" si="62"/>
        <v>14454</v>
      </c>
      <c r="AJ127" s="658">
        <f t="shared" ref="AJ127:AN127" si="63">AJ126*0.2359</f>
        <v>14142.912700000001</v>
      </c>
      <c r="AK127" s="658">
        <f t="shared" si="63"/>
        <v>14143.1486</v>
      </c>
      <c r="AL127" s="658">
        <f t="shared" si="63"/>
        <v>14143.3845</v>
      </c>
      <c r="AM127" s="658">
        <f t="shared" si="63"/>
        <v>14143.6204</v>
      </c>
      <c r="AN127" s="658">
        <f t="shared" si="63"/>
        <v>14143.856299999999</v>
      </c>
    </row>
    <row r="128" spans="1:182" x14ac:dyDescent="0.2">
      <c r="A128" s="78" t="s">
        <v>38</v>
      </c>
      <c r="B128" s="657"/>
      <c r="C128" s="657"/>
      <c r="D128" s="657"/>
      <c r="E128" s="657"/>
      <c r="F128" s="657"/>
      <c r="G128" s="657"/>
      <c r="H128" s="657"/>
      <c r="I128" s="657"/>
      <c r="J128" s="657"/>
      <c r="K128" s="657"/>
      <c r="L128" s="657"/>
      <c r="M128" s="657"/>
      <c r="N128" s="657"/>
      <c r="O128" s="657"/>
      <c r="P128" s="657"/>
      <c r="Q128" s="657"/>
      <c r="R128" s="657"/>
      <c r="S128" s="657"/>
      <c r="T128" s="657"/>
      <c r="U128" s="657"/>
      <c r="V128" s="657"/>
      <c r="W128" s="657"/>
      <c r="X128" s="657"/>
      <c r="Y128" s="657"/>
      <c r="Z128" s="657"/>
      <c r="AA128" s="657"/>
      <c r="AB128" s="657"/>
      <c r="AC128" s="657"/>
      <c r="AD128" s="657"/>
      <c r="AE128" s="657"/>
      <c r="AF128" s="657"/>
      <c r="AG128" s="657"/>
      <c r="AH128" s="657"/>
      <c r="AI128" s="657"/>
      <c r="AJ128" s="657"/>
      <c r="AK128" s="657"/>
      <c r="AL128" s="657"/>
      <c r="AM128" s="657"/>
      <c r="AN128" s="657"/>
    </row>
    <row r="129" spans="1:35" ht="14.25" x14ac:dyDescent="0.2">
      <c r="A129" s="386"/>
      <c r="B129" s="387"/>
      <c r="C129" s="388"/>
      <c r="D129" s="79"/>
      <c r="E129" s="79"/>
      <c r="F129" s="79"/>
      <c r="W129" s="362"/>
      <c r="X129" s="362"/>
      <c r="Y129" s="362"/>
      <c r="Z129" s="362"/>
      <c r="AA129" s="362"/>
      <c r="AB129" s="362"/>
      <c r="AC129" s="362"/>
      <c r="AD129" s="362"/>
      <c r="AE129" s="362"/>
      <c r="AF129" s="362"/>
    </row>
    <row r="130" spans="1:35" ht="13.5" x14ac:dyDescent="0.25">
      <c r="A130" s="995" t="s">
        <v>339</v>
      </c>
      <c r="B130" s="995"/>
      <c r="C130" s="995"/>
      <c r="D130" s="995"/>
      <c r="E130" s="995"/>
      <c r="F130" s="995"/>
      <c r="G130" s="995"/>
      <c r="H130" s="995"/>
      <c r="I130" s="995"/>
      <c r="W130" s="362"/>
      <c r="X130" s="362"/>
      <c r="Y130" s="362"/>
      <c r="Z130" s="362"/>
      <c r="AA130" s="362"/>
      <c r="AB130" s="362"/>
      <c r="AC130" s="362"/>
      <c r="AD130" s="362"/>
      <c r="AE130" s="362"/>
      <c r="AF130" s="362"/>
    </row>
    <row r="131" spans="1:35" ht="26.25" customHeight="1" x14ac:dyDescent="0.2">
      <c r="A131" s="80" t="s">
        <v>45</v>
      </c>
      <c r="B131" s="81">
        <v>2018</v>
      </c>
      <c r="C131" s="81">
        <v>2019</v>
      </c>
      <c r="D131" s="999" t="s">
        <v>347</v>
      </c>
      <c r="E131" s="1000"/>
      <c r="F131" s="1000"/>
      <c r="G131" s="1000"/>
      <c r="H131" s="1000"/>
      <c r="W131" s="362"/>
      <c r="X131" s="362"/>
      <c r="Y131" s="362"/>
      <c r="Z131" s="362"/>
      <c r="AA131" s="362"/>
      <c r="AB131" s="362"/>
      <c r="AC131" s="362"/>
      <c r="AD131" s="362"/>
      <c r="AE131" s="362"/>
      <c r="AF131" s="362"/>
    </row>
    <row r="132" spans="1:35" x14ac:dyDescent="0.2">
      <c r="A132" s="82" t="s">
        <v>29</v>
      </c>
      <c r="B132" s="83">
        <v>0.93899999999999995</v>
      </c>
      <c r="C132" s="83">
        <v>0.93899999999999995</v>
      </c>
      <c r="D132" s="366"/>
      <c r="E132" s="366"/>
      <c r="F132" s="366"/>
      <c r="W132" s="362"/>
      <c r="X132" s="362"/>
      <c r="Y132" s="362"/>
      <c r="Z132" s="362"/>
      <c r="AA132" s="362"/>
      <c r="AB132" s="362"/>
      <c r="AC132" s="362"/>
      <c r="AD132" s="362"/>
      <c r="AE132" s="362"/>
      <c r="AF132" s="362"/>
    </row>
    <row r="133" spans="1:35" x14ac:dyDescent="0.2">
      <c r="A133" s="84" t="s">
        <v>39</v>
      </c>
      <c r="B133" s="83">
        <v>1.1240000000000001</v>
      </c>
      <c r="C133" s="83">
        <v>0.92500000000000004</v>
      </c>
      <c r="D133" s="366"/>
      <c r="E133" s="366"/>
      <c r="F133" s="366"/>
      <c r="W133" s="362"/>
      <c r="X133" s="362"/>
      <c r="Y133" s="362"/>
      <c r="Z133" s="362"/>
      <c r="AA133" s="362"/>
      <c r="AB133" s="362"/>
      <c r="AC133" s="362"/>
      <c r="AD133" s="362"/>
      <c r="AE133" s="362"/>
      <c r="AF133" s="362"/>
    </row>
    <row r="134" spans="1:35" x14ac:dyDescent="0.2">
      <c r="A134" s="85" t="s">
        <v>46</v>
      </c>
      <c r="B134" s="86"/>
      <c r="C134" s="86"/>
      <c r="D134" s="366"/>
      <c r="E134" s="366"/>
      <c r="F134" s="366"/>
      <c r="I134" s="365"/>
      <c r="W134" s="362"/>
      <c r="X134" s="362"/>
      <c r="Y134" s="362"/>
      <c r="Z134" s="362"/>
      <c r="AA134" s="362"/>
      <c r="AB134" s="362"/>
      <c r="AC134" s="362"/>
      <c r="AD134" s="362"/>
      <c r="AE134" s="362"/>
      <c r="AF134" s="362"/>
    </row>
    <row r="135" spans="1:35" x14ac:dyDescent="0.2">
      <c r="A135" s="82" t="s">
        <v>29</v>
      </c>
      <c r="B135" s="83">
        <v>0.93899999999999995</v>
      </c>
      <c r="C135" s="83">
        <v>0.93899999999999995</v>
      </c>
      <c r="D135" s="366"/>
      <c r="E135" s="366"/>
      <c r="F135" s="366"/>
      <c r="W135" s="362"/>
      <c r="X135" s="362"/>
      <c r="Y135" s="362"/>
      <c r="Z135" s="362"/>
      <c r="AA135" s="362"/>
      <c r="AB135" s="362"/>
      <c r="AC135" s="362"/>
      <c r="AD135" s="362"/>
      <c r="AE135" s="362"/>
      <c r="AF135" s="362"/>
    </row>
    <row r="136" spans="1:35" x14ac:dyDescent="0.2">
      <c r="A136" s="87" t="s">
        <v>39</v>
      </c>
      <c r="B136" s="83">
        <v>1.1240000000000001</v>
      </c>
      <c r="C136" s="83">
        <v>0.92500000000000004</v>
      </c>
      <c r="D136" s="366"/>
      <c r="E136" s="366"/>
      <c r="F136" s="366"/>
      <c r="W136" s="362"/>
      <c r="X136" s="362"/>
      <c r="Y136" s="362"/>
      <c r="Z136" s="362"/>
      <c r="AA136" s="362"/>
      <c r="AB136" s="362"/>
      <c r="AC136" s="362"/>
      <c r="AD136" s="362"/>
      <c r="AE136" s="362"/>
      <c r="AF136" s="362"/>
    </row>
    <row r="137" spans="1:35" x14ac:dyDescent="0.2">
      <c r="A137" s="73" t="s">
        <v>40</v>
      </c>
      <c r="B137" s="88">
        <v>0.05</v>
      </c>
      <c r="C137" s="88">
        <v>0.05</v>
      </c>
      <c r="E137" s="366"/>
      <c r="F137" s="366"/>
      <c r="J137" s="389" t="s">
        <v>421</v>
      </c>
      <c r="W137" s="362"/>
      <c r="X137" s="362"/>
      <c r="Y137" s="362"/>
      <c r="Z137" s="362"/>
      <c r="AA137" s="362"/>
      <c r="AB137" s="362"/>
      <c r="AC137" s="362"/>
      <c r="AD137" s="362"/>
      <c r="AE137" s="362"/>
      <c r="AF137" s="362"/>
    </row>
    <row r="138" spans="1:35" x14ac:dyDescent="0.2">
      <c r="A138" s="87" t="s">
        <v>43</v>
      </c>
      <c r="B138" s="88">
        <v>7.0000000000000007E-2</v>
      </c>
      <c r="C138" s="88">
        <v>7.0000000000000007E-2</v>
      </c>
      <c r="D138" s="366"/>
      <c r="E138" s="366"/>
      <c r="F138" s="366"/>
      <c r="J138" s="89">
        <f>Līdzfinansējums!F39</f>
        <v>0.47924379</v>
      </c>
      <c r="W138" s="362"/>
      <c r="X138" s="362"/>
      <c r="Y138" s="362"/>
      <c r="Z138" s="362"/>
      <c r="AA138" s="362"/>
      <c r="AB138" s="362"/>
      <c r="AC138" s="362"/>
      <c r="AD138" s="362"/>
      <c r="AE138" s="362"/>
      <c r="AF138" s="362"/>
    </row>
    <row r="139" spans="1:35" ht="15" customHeight="1" x14ac:dyDescent="0.2">
      <c r="A139" s="372" t="s">
        <v>14</v>
      </c>
      <c r="B139" s="90">
        <v>2.5</v>
      </c>
      <c r="C139" s="90">
        <v>2.5</v>
      </c>
      <c r="D139" s="990" t="s">
        <v>521</v>
      </c>
      <c r="E139" s="991"/>
      <c r="F139" s="991"/>
      <c r="W139" s="362"/>
      <c r="X139" s="362"/>
      <c r="Y139" s="362"/>
      <c r="Z139" s="362"/>
      <c r="AA139" s="362"/>
      <c r="AB139" s="362"/>
      <c r="AC139" s="362"/>
      <c r="AD139" s="362"/>
      <c r="AE139" s="362"/>
      <c r="AF139" s="362"/>
    </row>
    <row r="140" spans="1:35" ht="15.75" customHeight="1" x14ac:dyDescent="0.2">
      <c r="A140" s="372" t="s">
        <v>15</v>
      </c>
      <c r="B140" s="90">
        <v>180</v>
      </c>
      <c r="C140" s="90">
        <v>180</v>
      </c>
      <c r="D140" s="990" t="s">
        <v>521</v>
      </c>
      <c r="E140" s="991"/>
      <c r="F140" s="991"/>
      <c r="W140" s="362"/>
      <c r="X140" s="362"/>
      <c r="Y140" s="362"/>
      <c r="Z140" s="362"/>
      <c r="AA140" s="362"/>
      <c r="AB140" s="362"/>
      <c r="AC140" s="362"/>
      <c r="AD140" s="362"/>
      <c r="AE140" s="362"/>
      <c r="AF140" s="362"/>
    </row>
    <row r="141" spans="1:35" x14ac:dyDescent="0.2">
      <c r="A141" s="372"/>
      <c r="D141" s="366"/>
      <c r="E141" s="366"/>
      <c r="F141" s="390"/>
      <c r="I141" s="365"/>
      <c r="W141" s="362"/>
      <c r="X141" s="362"/>
      <c r="Y141" s="362"/>
      <c r="Z141" s="362"/>
      <c r="AA141" s="362"/>
      <c r="AB141" s="362"/>
      <c r="AC141" s="362"/>
      <c r="AD141" s="362"/>
      <c r="AE141" s="362"/>
      <c r="AF141" s="362"/>
    </row>
    <row r="142" spans="1:35" x14ac:dyDescent="0.2">
      <c r="A142" s="84"/>
      <c r="B142" s="625">
        <f>B44</f>
        <v>2019</v>
      </c>
      <c r="C142" s="626">
        <f t="shared" ref="C142:H142" si="64">B142+1</f>
        <v>2020</v>
      </c>
      <c r="D142" s="93">
        <f t="shared" si="64"/>
        <v>2021</v>
      </c>
      <c r="E142" s="93">
        <f t="shared" si="64"/>
        <v>2022</v>
      </c>
      <c r="F142" s="93">
        <f t="shared" si="64"/>
        <v>2023</v>
      </c>
      <c r="G142" s="93">
        <f t="shared" si="64"/>
        <v>2024</v>
      </c>
      <c r="H142" s="93">
        <f t="shared" si="64"/>
        <v>2025</v>
      </c>
      <c r="I142" s="93">
        <f t="shared" ref="I142:P142" si="65">H142+1</f>
        <v>2026</v>
      </c>
      <c r="J142" s="93">
        <f t="shared" si="65"/>
        <v>2027</v>
      </c>
      <c r="K142" s="93">
        <f t="shared" si="65"/>
        <v>2028</v>
      </c>
      <c r="L142" s="93">
        <f t="shared" si="65"/>
        <v>2029</v>
      </c>
      <c r="M142" s="93">
        <f t="shared" si="65"/>
        <v>2030</v>
      </c>
      <c r="N142" s="93">
        <f t="shared" si="65"/>
        <v>2031</v>
      </c>
      <c r="O142" s="93">
        <f t="shared" si="65"/>
        <v>2032</v>
      </c>
      <c r="P142" s="93">
        <f t="shared" si="65"/>
        <v>2033</v>
      </c>
      <c r="Q142" s="93">
        <f t="shared" ref="Q142:Z142" si="66">P142+1</f>
        <v>2034</v>
      </c>
      <c r="R142" s="93">
        <f t="shared" si="66"/>
        <v>2035</v>
      </c>
      <c r="S142" s="93">
        <f t="shared" si="66"/>
        <v>2036</v>
      </c>
      <c r="T142" s="93">
        <f t="shared" si="66"/>
        <v>2037</v>
      </c>
      <c r="U142" s="93">
        <f t="shared" si="66"/>
        <v>2038</v>
      </c>
      <c r="V142" s="93">
        <f t="shared" si="66"/>
        <v>2039</v>
      </c>
      <c r="W142" s="93">
        <f t="shared" si="66"/>
        <v>2040</v>
      </c>
      <c r="X142" s="93">
        <f t="shared" si="66"/>
        <v>2041</v>
      </c>
      <c r="Y142" s="93">
        <f t="shared" si="66"/>
        <v>2042</v>
      </c>
      <c r="Z142" s="93">
        <f t="shared" si="66"/>
        <v>2043</v>
      </c>
      <c r="AA142" s="93">
        <f t="shared" ref="AA142:AG142" si="67">Z142+1</f>
        <v>2044</v>
      </c>
      <c r="AB142" s="93">
        <f t="shared" si="67"/>
        <v>2045</v>
      </c>
      <c r="AC142" s="93">
        <f t="shared" si="67"/>
        <v>2046</v>
      </c>
      <c r="AD142" s="93">
        <f t="shared" si="67"/>
        <v>2047</v>
      </c>
      <c r="AE142" s="93">
        <f t="shared" si="67"/>
        <v>2048</v>
      </c>
      <c r="AF142" s="93">
        <f t="shared" si="67"/>
        <v>2049</v>
      </c>
      <c r="AG142" s="93">
        <f t="shared" si="67"/>
        <v>2050</v>
      </c>
      <c r="AH142" s="93">
        <f>AG142+1</f>
        <v>2051</v>
      </c>
      <c r="AI142" s="93">
        <f>AH142+1</f>
        <v>2052</v>
      </c>
    </row>
    <row r="143" spans="1:35" x14ac:dyDescent="0.2">
      <c r="A143" s="78" t="s">
        <v>522</v>
      </c>
      <c r="B143" s="94">
        <v>0.05</v>
      </c>
      <c r="C143" s="94">
        <v>0.05</v>
      </c>
      <c r="D143" s="94">
        <v>0.05</v>
      </c>
      <c r="E143" s="94">
        <v>0.05</v>
      </c>
      <c r="F143" s="94">
        <v>0.05</v>
      </c>
      <c r="G143" s="94">
        <v>0.05</v>
      </c>
      <c r="H143" s="94">
        <v>0.05</v>
      </c>
      <c r="I143" s="94">
        <v>0.05</v>
      </c>
      <c r="J143" s="94">
        <v>0.05</v>
      </c>
      <c r="K143" s="94">
        <v>0.05</v>
      </c>
      <c r="L143" s="94">
        <v>0.05</v>
      </c>
      <c r="M143" s="94">
        <v>0.05</v>
      </c>
      <c r="N143" s="94">
        <v>0.05</v>
      </c>
      <c r="O143" s="94">
        <v>0.05</v>
      </c>
      <c r="P143" s="94">
        <v>0.05</v>
      </c>
      <c r="Q143" s="94">
        <v>0.05</v>
      </c>
      <c r="R143" s="94">
        <v>0.05</v>
      </c>
      <c r="S143" s="94">
        <v>0.05</v>
      </c>
      <c r="T143" s="94">
        <v>0.05</v>
      </c>
      <c r="U143" s="94">
        <v>0.05</v>
      </c>
      <c r="V143" s="94">
        <v>0.05</v>
      </c>
      <c r="W143" s="94">
        <v>0.05</v>
      </c>
      <c r="X143" s="94">
        <v>0.05</v>
      </c>
      <c r="Y143" s="94">
        <v>0.05</v>
      </c>
      <c r="Z143" s="94">
        <v>0.05</v>
      </c>
      <c r="AA143" s="94">
        <v>0.05</v>
      </c>
      <c r="AB143" s="94">
        <v>0.05</v>
      </c>
      <c r="AC143" s="94">
        <v>0.05</v>
      </c>
      <c r="AD143" s="94">
        <v>0.05</v>
      </c>
      <c r="AE143" s="94">
        <v>0.05</v>
      </c>
      <c r="AF143" s="94">
        <v>0.05</v>
      </c>
      <c r="AG143" s="94">
        <v>0.05</v>
      </c>
      <c r="AH143" s="94">
        <v>0.05</v>
      </c>
      <c r="AI143" s="94">
        <v>0.05</v>
      </c>
    </row>
    <row r="144" spans="1:35" ht="25.5" x14ac:dyDescent="0.2">
      <c r="A144" s="78" t="s">
        <v>591</v>
      </c>
      <c r="B144" s="400">
        <v>0</v>
      </c>
      <c r="C144" s="400">
        <v>0</v>
      </c>
      <c r="D144" s="400">
        <v>1</v>
      </c>
      <c r="E144" s="400">
        <v>1</v>
      </c>
      <c r="F144" s="400">
        <v>1</v>
      </c>
      <c r="G144" s="400">
        <v>1</v>
      </c>
      <c r="H144" s="400">
        <v>1</v>
      </c>
      <c r="I144" s="400">
        <v>1</v>
      </c>
      <c r="J144" s="400">
        <v>1</v>
      </c>
      <c r="K144" s="400">
        <v>1</v>
      </c>
      <c r="L144" s="400">
        <v>1</v>
      </c>
      <c r="M144" s="400">
        <v>1</v>
      </c>
      <c r="N144" s="400">
        <v>1</v>
      </c>
      <c r="O144" s="400">
        <v>1</v>
      </c>
      <c r="P144" s="400">
        <v>1</v>
      </c>
      <c r="Q144" s="400">
        <v>1</v>
      </c>
      <c r="R144" s="400">
        <v>1</v>
      </c>
      <c r="S144" s="400">
        <v>1</v>
      </c>
      <c r="T144" s="400">
        <v>1</v>
      </c>
      <c r="U144" s="400">
        <v>1</v>
      </c>
      <c r="V144" s="400">
        <v>1</v>
      </c>
      <c r="W144" s="400">
        <v>1</v>
      </c>
      <c r="X144" s="400">
        <v>1</v>
      </c>
      <c r="Y144" s="400">
        <v>1</v>
      </c>
      <c r="Z144" s="400">
        <v>1</v>
      </c>
      <c r="AA144" s="400">
        <v>1</v>
      </c>
      <c r="AB144" s="400">
        <v>1</v>
      </c>
      <c r="AC144" s="400">
        <v>1</v>
      </c>
      <c r="AD144" s="400">
        <v>1</v>
      </c>
      <c r="AE144" s="400">
        <v>1</v>
      </c>
      <c r="AF144" s="400">
        <v>1</v>
      </c>
      <c r="AG144" s="400">
        <v>1</v>
      </c>
      <c r="AH144" s="400">
        <v>1</v>
      </c>
      <c r="AI144" s="400">
        <v>1</v>
      </c>
    </row>
    <row r="145" spans="1:35" ht="25.5" x14ac:dyDescent="0.2">
      <c r="A145" s="78" t="s">
        <v>523</v>
      </c>
      <c r="B145" s="400">
        <v>0</v>
      </c>
      <c r="C145" s="400">
        <v>0</v>
      </c>
      <c r="D145" s="400">
        <v>0.3</v>
      </c>
      <c r="E145" s="400">
        <v>0.3</v>
      </c>
      <c r="F145" s="400">
        <v>0.3</v>
      </c>
      <c r="G145" s="400">
        <v>0.3</v>
      </c>
      <c r="H145" s="400">
        <v>0.3</v>
      </c>
      <c r="I145" s="400">
        <v>0.3</v>
      </c>
      <c r="J145" s="400">
        <v>0.3</v>
      </c>
      <c r="K145" s="400">
        <v>0.3</v>
      </c>
      <c r="L145" s="400">
        <v>0.3</v>
      </c>
      <c r="M145" s="400">
        <v>0.3</v>
      </c>
      <c r="N145" s="400">
        <v>0.3</v>
      </c>
      <c r="O145" s="400">
        <v>0.3</v>
      </c>
      <c r="P145" s="400">
        <v>0.3</v>
      </c>
      <c r="Q145" s="400">
        <v>0.3</v>
      </c>
      <c r="R145" s="400">
        <v>0.3</v>
      </c>
      <c r="S145" s="400">
        <v>0.3</v>
      </c>
      <c r="T145" s="400">
        <v>0.3</v>
      </c>
      <c r="U145" s="400">
        <v>0.3</v>
      </c>
      <c r="V145" s="400">
        <v>0.3</v>
      </c>
      <c r="W145" s="400">
        <v>0.3</v>
      </c>
      <c r="X145" s="400">
        <v>0.3</v>
      </c>
      <c r="Y145" s="400">
        <v>0.3</v>
      </c>
      <c r="Z145" s="400">
        <v>0.3</v>
      </c>
      <c r="AA145" s="400">
        <v>0.3</v>
      </c>
      <c r="AB145" s="400">
        <v>0.3</v>
      </c>
      <c r="AC145" s="400">
        <v>0.3</v>
      </c>
      <c r="AD145" s="400">
        <v>0.3</v>
      </c>
      <c r="AE145" s="400">
        <v>0.3</v>
      </c>
      <c r="AF145" s="400">
        <v>0.3</v>
      </c>
      <c r="AG145" s="400">
        <v>0.3</v>
      </c>
      <c r="AH145" s="400">
        <v>0.3</v>
      </c>
      <c r="AI145" s="400">
        <v>0.3</v>
      </c>
    </row>
    <row r="146" spans="1:35" x14ac:dyDescent="0.2">
      <c r="E146" s="366"/>
      <c r="W146" s="362"/>
      <c r="X146" s="362"/>
      <c r="Y146" s="362"/>
      <c r="Z146" s="362"/>
      <c r="AA146" s="362"/>
      <c r="AB146" s="362"/>
      <c r="AC146" s="362"/>
      <c r="AD146" s="362"/>
      <c r="AE146" s="362"/>
      <c r="AF146" s="362"/>
      <c r="AG146" s="362"/>
      <c r="AH146" s="362"/>
      <c r="AI146" s="362"/>
    </row>
    <row r="147" spans="1:35" x14ac:dyDescent="0.2">
      <c r="A147" s="371" t="s">
        <v>453</v>
      </c>
      <c r="B147" s="391">
        <v>0.04</v>
      </c>
      <c r="W147" s="362"/>
      <c r="X147" s="362"/>
      <c r="Y147" s="362"/>
      <c r="Z147" s="362"/>
      <c r="AA147" s="362"/>
      <c r="AB147" s="362"/>
      <c r="AC147" s="362"/>
      <c r="AD147" s="362"/>
      <c r="AE147" s="362"/>
      <c r="AF147" s="362"/>
      <c r="AG147" s="362"/>
      <c r="AH147" s="362"/>
      <c r="AI147" s="362"/>
    </row>
    <row r="148" spans="1:35" x14ac:dyDescent="0.2">
      <c r="A148" s="372" t="s">
        <v>329</v>
      </c>
      <c r="B148" s="996" t="s">
        <v>326</v>
      </c>
      <c r="C148" s="997"/>
      <c r="D148" s="997"/>
      <c r="E148" s="997"/>
      <c r="F148" s="997"/>
      <c r="G148" s="998"/>
      <c r="H148" s="392"/>
      <c r="I148" s="365"/>
      <c r="J148" s="389" t="s">
        <v>41</v>
      </c>
    </row>
    <row r="149" spans="1:35" ht="22.5" customHeight="1" x14ac:dyDescent="0.2">
      <c r="A149" s="372" t="s">
        <v>42</v>
      </c>
      <c r="B149" s="1004" t="s">
        <v>327</v>
      </c>
      <c r="C149" s="1005"/>
      <c r="D149" s="1005"/>
      <c r="E149" s="1005"/>
      <c r="F149" s="1005"/>
      <c r="G149" s="1006"/>
      <c r="H149" s="990" t="s">
        <v>303</v>
      </c>
      <c r="I149" s="1002"/>
      <c r="J149" s="89">
        <f>MAX('Iedzivotaju maksatspeja'!B39:AG39)</f>
        <v>2.8628600000000001E-2</v>
      </c>
      <c r="K149" s="393" t="str">
        <f>IF(OR(J149&lt;0.02,J149&gt;0.04),"Mājsaimniecību maksājumi par ūdenssaimniecību neiekļaujas 2%-4% robežās","-")</f>
        <v>-</v>
      </c>
    </row>
    <row r="150" spans="1:35" x14ac:dyDescent="0.2">
      <c r="D150" s="366"/>
      <c r="E150" s="366"/>
      <c r="F150" s="366"/>
      <c r="W150" s="362"/>
      <c r="X150" s="362"/>
      <c r="Y150" s="362"/>
      <c r="Z150" s="362"/>
      <c r="AA150" s="362"/>
      <c r="AB150" s="362"/>
      <c r="AC150" s="362"/>
      <c r="AD150" s="362"/>
      <c r="AE150" s="362"/>
      <c r="AF150" s="362"/>
      <c r="AG150" s="362"/>
      <c r="AH150" s="362"/>
      <c r="AI150" s="362"/>
    </row>
    <row r="151" spans="1:35" x14ac:dyDescent="0.2">
      <c r="A151" s="989" t="s">
        <v>352</v>
      </c>
      <c r="B151" s="989"/>
      <c r="C151" s="989"/>
      <c r="D151" s="989"/>
      <c r="E151" s="989"/>
      <c r="F151" s="989"/>
      <c r="G151" s="989"/>
      <c r="H151" s="989"/>
      <c r="I151" s="989"/>
      <c r="W151" s="362"/>
      <c r="X151" s="362"/>
      <c r="Y151" s="362"/>
      <c r="Z151" s="362"/>
      <c r="AA151" s="362"/>
      <c r="AB151" s="362"/>
      <c r="AC151" s="362"/>
      <c r="AD151" s="362"/>
      <c r="AE151" s="362"/>
      <c r="AF151" s="362"/>
      <c r="AG151" s="362"/>
      <c r="AH151" s="362"/>
      <c r="AI151" s="362"/>
    </row>
    <row r="152" spans="1:35" x14ac:dyDescent="0.2">
      <c r="A152" s="82" t="s">
        <v>18</v>
      </c>
      <c r="B152" s="1003" t="s">
        <v>20</v>
      </c>
      <c r="C152" s="1003"/>
      <c r="D152" s="1003"/>
      <c r="E152" s="1003"/>
      <c r="F152" s="1003"/>
      <c r="G152" s="1003"/>
      <c r="I152" s="365"/>
      <c r="W152" s="362"/>
      <c r="X152" s="362"/>
      <c r="Y152" s="362"/>
      <c r="Z152" s="362"/>
      <c r="AA152" s="362"/>
      <c r="AB152" s="362"/>
      <c r="AC152" s="362"/>
      <c r="AD152" s="362"/>
      <c r="AE152" s="362"/>
      <c r="AF152" s="362"/>
      <c r="AG152" s="362"/>
      <c r="AH152" s="362"/>
      <c r="AI152" s="362"/>
    </row>
    <row r="153" spans="1:35" x14ac:dyDescent="0.2">
      <c r="A153" s="87"/>
      <c r="B153" s="91">
        <f>C44</f>
        <v>2020</v>
      </c>
      <c r="C153" s="92">
        <f t="shared" ref="C153:H153" si="68">B153+1</f>
        <v>2021</v>
      </c>
      <c r="D153" s="93">
        <f t="shared" si="68"/>
        <v>2022</v>
      </c>
      <c r="E153" s="93">
        <f t="shared" si="68"/>
        <v>2023</v>
      </c>
      <c r="F153" s="93">
        <f t="shared" si="68"/>
        <v>2024</v>
      </c>
      <c r="G153" s="93">
        <f t="shared" si="68"/>
        <v>2025</v>
      </c>
      <c r="H153" s="93">
        <f t="shared" si="68"/>
        <v>2026</v>
      </c>
    </row>
    <row r="154" spans="1:35" ht="25.5" customHeight="1" x14ac:dyDescent="0.2">
      <c r="A154" s="87" t="s">
        <v>526</v>
      </c>
      <c r="B154" s="791">
        <v>50000</v>
      </c>
      <c r="C154" s="791"/>
      <c r="D154" s="791"/>
      <c r="E154" s="791"/>
      <c r="F154" s="792"/>
      <c r="G154" s="792"/>
      <c r="H154" s="792"/>
      <c r="I154" s="990" t="s">
        <v>454</v>
      </c>
      <c r="J154" s="991"/>
      <c r="K154" s="991"/>
      <c r="L154" s="991"/>
    </row>
    <row r="155" spans="1:35" x14ac:dyDescent="0.2">
      <c r="A155" s="84" t="s">
        <v>524</v>
      </c>
      <c r="B155" s="95">
        <v>0.04</v>
      </c>
      <c r="C155" s="70"/>
      <c r="D155" s="68"/>
      <c r="E155" s="68"/>
      <c r="F155" s="68"/>
      <c r="G155" s="68"/>
      <c r="H155" s="68"/>
      <c r="W155" s="362"/>
      <c r="X155" s="362"/>
      <c r="Y155" s="362"/>
      <c r="Z155" s="362"/>
      <c r="AA155" s="362"/>
      <c r="AB155" s="362"/>
      <c r="AC155" s="362"/>
      <c r="AD155" s="362"/>
      <c r="AE155" s="362"/>
      <c r="AF155" s="362"/>
      <c r="AG155" s="362"/>
      <c r="AH155" s="362"/>
      <c r="AI155" s="362"/>
    </row>
    <row r="156" spans="1:35" x14ac:dyDescent="0.2">
      <c r="A156" s="96" t="s">
        <v>399</v>
      </c>
      <c r="B156" s="97">
        <v>10</v>
      </c>
      <c r="C156" s="70"/>
      <c r="D156" s="68"/>
      <c r="E156" s="68"/>
      <c r="F156" s="68"/>
      <c r="G156" s="68"/>
      <c r="H156" s="68"/>
      <c r="W156" s="362"/>
      <c r="X156" s="362"/>
      <c r="Y156" s="362"/>
      <c r="Z156" s="362"/>
      <c r="AA156" s="362"/>
      <c r="AB156" s="362"/>
      <c r="AC156" s="362"/>
      <c r="AD156" s="362"/>
      <c r="AE156" s="362"/>
      <c r="AF156" s="362"/>
      <c r="AG156" s="362"/>
      <c r="AH156" s="362"/>
      <c r="AI156" s="362"/>
    </row>
    <row r="157" spans="1:35" x14ac:dyDescent="0.2">
      <c r="A157" s="96" t="s">
        <v>476</v>
      </c>
      <c r="B157" s="661"/>
      <c r="C157" s="661"/>
      <c r="D157" s="661"/>
      <c r="E157" s="661"/>
      <c r="F157" s="661"/>
      <c r="G157" s="661"/>
      <c r="H157" s="661"/>
      <c r="W157" s="362"/>
      <c r="X157" s="362"/>
      <c r="Y157" s="362"/>
      <c r="Z157" s="362"/>
      <c r="AA157" s="362"/>
      <c r="AB157" s="362"/>
      <c r="AC157" s="362"/>
      <c r="AD157" s="362"/>
      <c r="AE157" s="362"/>
      <c r="AF157" s="362"/>
      <c r="AG157" s="362"/>
      <c r="AH157" s="362"/>
      <c r="AI157" s="362"/>
    </row>
    <row r="158" spans="1:35" x14ac:dyDescent="0.2">
      <c r="A158" s="96" t="s">
        <v>527</v>
      </c>
      <c r="B158" s="97" t="s">
        <v>20</v>
      </c>
      <c r="C158" s="70"/>
      <c r="D158" s="68"/>
      <c r="E158" s="68"/>
      <c r="F158" s="68"/>
      <c r="G158" s="68"/>
      <c r="H158" s="68"/>
      <c r="W158" s="362"/>
      <c r="X158" s="362"/>
      <c r="Y158" s="362"/>
      <c r="Z158" s="362"/>
      <c r="AA158" s="362"/>
      <c r="AB158" s="362"/>
      <c r="AC158" s="362"/>
      <c r="AD158" s="362"/>
      <c r="AE158" s="362"/>
      <c r="AF158" s="362"/>
      <c r="AG158" s="362"/>
      <c r="AH158" s="362"/>
      <c r="AI158" s="362"/>
    </row>
    <row r="159" spans="1:35" hidden="1" x14ac:dyDescent="0.2">
      <c r="A159" s="96" t="s">
        <v>486</v>
      </c>
      <c r="B159" s="662"/>
      <c r="C159" s="663"/>
      <c r="D159" s="664"/>
      <c r="E159" s="664"/>
      <c r="F159" s="664"/>
      <c r="G159" s="664"/>
      <c r="H159" s="664"/>
      <c r="W159" s="362"/>
      <c r="X159" s="362"/>
      <c r="Y159" s="362"/>
      <c r="Z159" s="362"/>
      <c r="AA159" s="362"/>
      <c r="AB159" s="362"/>
      <c r="AC159" s="362"/>
      <c r="AD159" s="362"/>
      <c r="AE159" s="362"/>
      <c r="AF159" s="362"/>
      <c r="AG159" s="362"/>
      <c r="AH159" s="362"/>
      <c r="AI159" s="362"/>
    </row>
    <row r="160" spans="1:35" x14ac:dyDescent="0.2">
      <c r="A160" s="96" t="s">
        <v>592</v>
      </c>
      <c r="B160" s="661">
        <v>50000</v>
      </c>
      <c r="C160" s="661"/>
      <c r="D160" s="661"/>
      <c r="E160" s="661"/>
      <c r="F160" s="661"/>
      <c r="G160" s="661"/>
      <c r="H160" s="661"/>
      <c r="W160" s="362"/>
      <c r="X160" s="362"/>
      <c r="Y160" s="362"/>
      <c r="Z160" s="362"/>
      <c r="AA160" s="362"/>
      <c r="AB160" s="362"/>
      <c r="AC160" s="362"/>
      <c r="AD160" s="362"/>
      <c r="AE160" s="362"/>
      <c r="AF160" s="362"/>
      <c r="AG160" s="362"/>
      <c r="AH160" s="362"/>
      <c r="AI160" s="362"/>
    </row>
    <row r="161" spans="1:35" x14ac:dyDescent="0.2">
      <c r="A161" s="84" t="s">
        <v>528</v>
      </c>
      <c r="B161" s="95">
        <v>0.04</v>
      </c>
      <c r="C161" s="70"/>
      <c r="D161" s="68"/>
      <c r="E161" s="68"/>
      <c r="F161" s="68"/>
      <c r="G161" s="68"/>
      <c r="H161" s="68"/>
      <c r="W161" s="362"/>
      <c r="X161" s="362"/>
      <c r="Y161" s="362"/>
      <c r="Z161" s="362"/>
      <c r="AA161" s="362"/>
      <c r="AB161" s="362"/>
      <c r="AC161" s="362"/>
      <c r="AD161" s="362"/>
      <c r="AE161" s="362"/>
      <c r="AF161" s="362"/>
      <c r="AG161" s="362"/>
      <c r="AH161" s="362"/>
      <c r="AI161" s="362"/>
    </row>
    <row r="162" spans="1:35" x14ac:dyDescent="0.2">
      <c r="A162" s="96" t="s">
        <v>529</v>
      </c>
      <c r="B162" s="97">
        <v>10</v>
      </c>
      <c r="C162" s="70"/>
      <c r="D162" s="68"/>
      <c r="E162" s="68"/>
      <c r="F162" s="68"/>
      <c r="G162" s="68"/>
      <c r="H162" s="68"/>
      <c r="W162" s="362"/>
      <c r="X162" s="362"/>
      <c r="Y162" s="362"/>
      <c r="Z162" s="362"/>
      <c r="AA162" s="362"/>
      <c r="AB162" s="362"/>
      <c r="AC162" s="362"/>
      <c r="AD162" s="362"/>
      <c r="AE162" s="362"/>
      <c r="AF162" s="362"/>
      <c r="AG162" s="362"/>
      <c r="AH162" s="362"/>
      <c r="AI162" s="362"/>
    </row>
    <row r="163" spans="1:35" x14ac:dyDescent="0.2">
      <c r="A163" s="96" t="s">
        <v>492</v>
      </c>
      <c r="B163" s="661"/>
      <c r="C163" s="661"/>
      <c r="D163" s="661"/>
      <c r="E163" s="661"/>
      <c r="F163" s="661"/>
      <c r="G163" s="661"/>
      <c r="H163" s="661"/>
      <c r="W163" s="362"/>
      <c r="X163" s="362"/>
      <c r="Y163" s="362"/>
      <c r="Z163" s="362"/>
      <c r="AA163" s="362"/>
      <c r="AB163" s="362"/>
      <c r="AC163" s="362"/>
      <c r="AD163" s="362"/>
      <c r="AE163" s="362"/>
      <c r="AF163" s="362"/>
      <c r="AG163" s="362"/>
      <c r="AH163" s="362"/>
      <c r="AI163" s="362"/>
    </row>
    <row r="164" spans="1:35" x14ac:dyDescent="0.2">
      <c r="A164" s="394" t="s">
        <v>406</v>
      </c>
      <c r="B164" s="665">
        <f>HLOOKUP(B153,Aprekini!$B$203:$AH$204,2,FALSE)</f>
        <v>177031.85336800001</v>
      </c>
      <c r="C164" s="665">
        <f>HLOOKUP(C153,Aprekini!$B$203:$AH$204,2,FALSE)</f>
        <v>18955.526043999998</v>
      </c>
      <c r="D164" s="665">
        <f>HLOOKUP(D153,Aprekini!$B$203:$AH$204,2,FALSE)</f>
        <v>0</v>
      </c>
      <c r="E164" s="665">
        <f>HLOOKUP(E153,Aprekini!$B$203:$AH$204,2,FALSE)</f>
        <v>0</v>
      </c>
      <c r="F164" s="665">
        <f>HLOOKUP(F153,Aprekini!$B$203:$AH$204,2,FALSE)</f>
        <v>0</v>
      </c>
      <c r="G164" s="665">
        <f>HLOOKUP(G153,Aprekini!$B$203:$AH$204,2,FALSE)</f>
        <v>0</v>
      </c>
      <c r="H164" s="665">
        <f>HLOOKUP(H153,Aprekini!$B$203:$AH$204,2,FALSE)</f>
        <v>0</v>
      </c>
    </row>
    <row r="165" spans="1:35" x14ac:dyDescent="0.2">
      <c r="A165" s="394" t="s">
        <v>455</v>
      </c>
      <c r="B165" s="665">
        <f>HLOOKUP(B153,'Naudas plusma'!$B$6:$AH$25,20,FALSE)</f>
        <v>140955.61383199994</v>
      </c>
      <c r="C165" s="665">
        <f>HLOOKUP(C153,'Naudas plusma'!$B$6:$AH$25,20,FALSE)</f>
        <v>158215.32568799984</v>
      </c>
      <c r="D165" s="665">
        <f>HLOOKUP(D153,'Naudas plusma'!$B$6:$AH$25,20,FALSE)</f>
        <v>196458.39638799982</v>
      </c>
      <c r="E165" s="665">
        <f>HLOOKUP(E153,'Naudas plusma'!$B$6:$AH$25,20,FALSE)</f>
        <v>233111.5961879997</v>
      </c>
      <c r="F165" s="665">
        <f>HLOOKUP(F153,'Naudas plusma'!$B$6:$AH$25,20,FALSE)</f>
        <v>270891.79018799961</v>
      </c>
      <c r="G165" s="665">
        <f>HLOOKUP(G153,'Naudas plusma'!$B$6:$AH$25,20,FALSE)</f>
        <v>310129.69238799956</v>
      </c>
      <c r="H165" s="665">
        <f>HLOOKUP(H153,'Naudas plusma'!$B$6:$AH$25,20,FALSE)</f>
        <v>347447.0096879995</v>
      </c>
    </row>
    <row r="166" spans="1:35" x14ac:dyDescent="0.2">
      <c r="A166" s="395"/>
      <c r="B166" s="91">
        <f>C44</f>
        <v>2020</v>
      </c>
      <c r="C166" s="92">
        <f t="shared" ref="C166:Z166" si="69">B166+1</f>
        <v>2021</v>
      </c>
      <c r="D166" s="93">
        <f t="shared" si="69"/>
        <v>2022</v>
      </c>
      <c r="E166" s="93">
        <f t="shared" si="69"/>
        <v>2023</v>
      </c>
      <c r="F166" s="93">
        <f t="shared" si="69"/>
        <v>2024</v>
      </c>
      <c r="G166" s="93">
        <f t="shared" si="69"/>
        <v>2025</v>
      </c>
      <c r="H166" s="93">
        <f t="shared" si="69"/>
        <v>2026</v>
      </c>
      <c r="I166" s="93">
        <f t="shared" si="69"/>
        <v>2027</v>
      </c>
      <c r="J166" s="93">
        <f t="shared" si="69"/>
        <v>2028</v>
      </c>
      <c r="K166" s="93">
        <f t="shared" si="69"/>
        <v>2029</v>
      </c>
      <c r="L166" s="93">
        <f t="shared" si="69"/>
        <v>2030</v>
      </c>
      <c r="M166" s="93">
        <f t="shared" si="69"/>
        <v>2031</v>
      </c>
      <c r="N166" s="93">
        <f t="shared" si="69"/>
        <v>2032</v>
      </c>
      <c r="O166" s="93">
        <f t="shared" si="69"/>
        <v>2033</v>
      </c>
      <c r="P166" s="93">
        <f t="shared" si="69"/>
        <v>2034</v>
      </c>
      <c r="Q166" s="93">
        <f t="shared" si="69"/>
        <v>2035</v>
      </c>
      <c r="R166" s="93">
        <f t="shared" si="69"/>
        <v>2036</v>
      </c>
      <c r="S166" s="93">
        <f t="shared" si="69"/>
        <v>2037</v>
      </c>
      <c r="T166" s="93">
        <f t="shared" si="69"/>
        <v>2038</v>
      </c>
      <c r="U166" s="93">
        <f t="shared" si="69"/>
        <v>2039</v>
      </c>
      <c r="V166" s="93">
        <f t="shared" si="69"/>
        <v>2040</v>
      </c>
      <c r="W166" s="93">
        <f t="shared" si="69"/>
        <v>2041</v>
      </c>
      <c r="X166" s="93">
        <f t="shared" si="69"/>
        <v>2042</v>
      </c>
      <c r="Y166" s="93">
        <f t="shared" si="69"/>
        <v>2043</v>
      </c>
      <c r="Z166" s="93">
        <f t="shared" si="69"/>
        <v>2044</v>
      </c>
      <c r="AA166" s="93">
        <f t="shared" ref="AA166:AG166" si="70">Z166+1</f>
        <v>2045</v>
      </c>
      <c r="AB166" s="93">
        <f t="shared" si="70"/>
        <v>2046</v>
      </c>
      <c r="AC166" s="93">
        <f t="shared" si="70"/>
        <v>2047</v>
      </c>
      <c r="AD166" s="93">
        <f t="shared" si="70"/>
        <v>2048</v>
      </c>
      <c r="AE166" s="93">
        <f t="shared" si="70"/>
        <v>2049</v>
      </c>
      <c r="AF166" s="93">
        <f t="shared" si="70"/>
        <v>2050</v>
      </c>
      <c r="AG166" s="93">
        <f t="shared" si="70"/>
        <v>2051</v>
      </c>
      <c r="AH166" s="93">
        <f>AG166+1</f>
        <v>2052</v>
      </c>
      <c r="AI166" s="93">
        <f>AH166+1</f>
        <v>2053</v>
      </c>
    </row>
    <row r="167" spans="1:35" x14ac:dyDescent="0.2">
      <c r="A167" s="96" t="s">
        <v>623</v>
      </c>
      <c r="B167" s="661"/>
      <c r="C167" s="661"/>
      <c r="D167" s="661"/>
      <c r="E167" s="661"/>
      <c r="F167" s="661"/>
      <c r="G167" s="661"/>
      <c r="H167" s="661"/>
      <c r="I167" s="661"/>
      <c r="J167" s="661"/>
      <c r="K167" s="661"/>
      <c r="L167" s="661"/>
      <c r="M167" s="661"/>
      <c r="N167" s="661"/>
      <c r="O167" s="661"/>
      <c r="P167" s="661"/>
      <c r="Q167" s="661"/>
      <c r="R167" s="661"/>
      <c r="S167" s="661"/>
      <c r="T167" s="661"/>
      <c r="U167" s="661"/>
      <c r="V167" s="661"/>
      <c r="W167" s="661"/>
      <c r="X167" s="661"/>
      <c r="Y167" s="661"/>
      <c r="Z167" s="661"/>
      <c r="AA167" s="661"/>
      <c r="AB167" s="661"/>
      <c r="AC167" s="661"/>
      <c r="AD167" s="661"/>
      <c r="AE167" s="661"/>
      <c r="AF167" s="661"/>
      <c r="AG167" s="661"/>
      <c r="AH167" s="661"/>
      <c r="AI167" s="661"/>
    </row>
    <row r="168" spans="1:35" x14ac:dyDescent="0.2">
      <c r="A168" s="96" t="s">
        <v>472</v>
      </c>
      <c r="B168" s="661">
        <v>17700600</v>
      </c>
      <c r="C168" s="661">
        <v>17700600</v>
      </c>
      <c r="D168" s="661">
        <v>17700600</v>
      </c>
      <c r="E168" s="661">
        <v>17700600</v>
      </c>
      <c r="F168" s="661">
        <v>17700600</v>
      </c>
      <c r="G168" s="661">
        <v>17700600</v>
      </c>
      <c r="H168" s="661">
        <v>17700600</v>
      </c>
      <c r="I168" s="661">
        <v>17700600</v>
      </c>
      <c r="J168" s="661">
        <v>17700600</v>
      </c>
      <c r="K168" s="661">
        <v>17700600</v>
      </c>
      <c r="L168" s="661">
        <v>17700600</v>
      </c>
      <c r="M168" s="661">
        <v>17700600</v>
      </c>
      <c r="N168" s="661">
        <v>17700600</v>
      </c>
      <c r="O168" s="661">
        <v>17700600</v>
      </c>
      <c r="P168" s="661">
        <v>17700600</v>
      </c>
      <c r="Q168" s="661">
        <v>17700600</v>
      </c>
      <c r="R168" s="661">
        <v>17700600</v>
      </c>
      <c r="S168" s="661">
        <v>17700600</v>
      </c>
      <c r="T168" s="661">
        <v>17700600</v>
      </c>
      <c r="U168" s="661">
        <v>17700600</v>
      </c>
      <c r="V168" s="661">
        <v>17700600</v>
      </c>
      <c r="W168" s="661">
        <v>17700600</v>
      </c>
      <c r="X168" s="661">
        <v>17700600</v>
      </c>
      <c r="Y168" s="661">
        <v>17700600</v>
      </c>
      <c r="Z168" s="661">
        <v>17700600</v>
      </c>
      <c r="AA168" s="661">
        <v>17700600</v>
      </c>
      <c r="AB168" s="661">
        <v>17700600</v>
      </c>
      <c r="AC168" s="661">
        <v>17700600</v>
      </c>
      <c r="AD168" s="661">
        <v>17700600</v>
      </c>
      <c r="AE168" s="661">
        <v>17700600</v>
      </c>
      <c r="AF168" s="661">
        <v>17700600</v>
      </c>
      <c r="AG168" s="661">
        <v>17700600</v>
      </c>
      <c r="AH168" s="661">
        <v>17700600</v>
      </c>
      <c r="AI168" s="661">
        <v>17700600</v>
      </c>
    </row>
    <row r="169" spans="1:35" x14ac:dyDescent="0.2">
      <c r="A169" s="96" t="s">
        <v>593</v>
      </c>
      <c r="B169" s="661"/>
      <c r="C169" s="661"/>
      <c r="D169" s="661"/>
      <c r="E169" s="661"/>
      <c r="F169" s="661"/>
      <c r="G169" s="661"/>
      <c r="H169" s="661"/>
      <c r="I169" s="661"/>
      <c r="J169" s="661"/>
      <c r="K169" s="661"/>
      <c r="L169" s="661"/>
      <c r="M169" s="661"/>
      <c r="N169" s="661"/>
      <c r="O169" s="661"/>
      <c r="P169" s="661"/>
      <c r="Q169" s="661"/>
      <c r="R169" s="661"/>
      <c r="S169" s="661"/>
      <c r="T169" s="661"/>
      <c r="U169" s="661"/>
      <c r="V169" s="661"/>
      <c r="W169" s="661"/>
      <c r="X169" s="661"/>
      <c r="Y169" s="661"/>
      <c r="Z169" s="661"/>
      <c r="AA169" s="661"/>
      <c r="AB169" s="661"/>
      <c r="AC169" s="661"/>
      <c r="AD169" s="661"/>
      <c r="AE169" s="661"/>
      <c r="AF169" s="661"/>
      <c r="AG169" s="661"/>
      <c r="AH169" s="661"/>
      <c r="AI169" s="661"/>
    </row>
    <row r="170" spans="1:35" x14ac:dyDescent="0.2">
      <c r="A170" s="96" t="s">
        <v>360</v>
      </c>
      <c r="B170" s="661"/>
      <c r="C170" s="661"/>
      <c r="D170" s="661"/>
      <c r="E170" s="661"/>
      <c r="F170" s="661"/>
      <c r="G170" s="661"/>
      <c r="H170" s="661"/>
      <c r="I170" s="661"/>
      <c r="J170" s="661"/>
      <c r="K170" s="661"/>
      <c r="L170" s="661"/>
      <c r="M170" s="661"/>
      <c r="N170" s="661"/>
      <c r="O170" s="661"/>
      <c r="P170" s="661"/>
      <c r="Q170" s="661"/>
      <c r="R170" s="661"/>
      <c r="S170" s="661"/>
      <c r="T170" s="661"/>
      <c r="U170" s="661"/>
      <c r="V170" s="661"/>
      <c r="W170" s="661"/>
      <c r="X170" s="661"/>
      <c r="Y170" s="661"/>
      <c r="Z170" s="661"/>
      <c r="AA170" s="661"/>
      <c r="AB170" s="661"/>
      <c r="AC170" s="661"/>
      <c r="AD170" s="661"/>
      <c r="AE170" s="661"/>
      <c r="AF170" s="661"/>
      <c r="AG170" s="661"/>
      <c r="AH170" s="661"/>
      <c r="AI170" s="661"/>
    </row>
    <row r="171" spans="1:35" x14ac:dyDescent="0.2">
      <c r="A171" s="98" t="s">
        <v>530</v>
      </c>
      <c r="B171" s="396">
        <f t="shared" ref="B171:AI171" si="71">B184/B168</f>
        <v>5.6495260047681999E-3</v>
      </c>
      <c r="C171" s="396">
        <f t="shared" si="71"/>
        <v>5.6495260047681999E-3</v>
      </c>
      <c r="D171" s="396">
        <f t="shared" si="71"/>
        <v>5.6495260047681999E-3</v>
      </c>
      <c r="E171" s="396">
        <f t="shared" si="71"/>
        <v>5.6495260047681999E-3</v>
      </c>
      <c r="F171" s="396">
        <f t="shared" si="71"/>
        <v>5.6495260047681999E-3</v>
      </c>
      <c r="G171" s="396">
        <f t="shared" si="71"/>
        <v>5.6495260047681999E-3</v>
      </c>
      <c r="H171" s="396">
        <f t="shared" si="71"/>
        <v>5.6495260047681999E-3</v>
      </c>
      <c r="I171" s="396">
        <f t="shared" si="71"/>
        <v>5.6495260047681999E-3</v>
      </c>
      <c r="J171" s="396">
        <f t="shared" si="71"/>
        <v>5.6495260047681999E-3</v>
      </c>
      <c r="K171" s="396">
        <f t="shared" si="71"/>
        <v>8.4742890071522995E-4</v>
      </c>
      <c r="L171" s="396">
        <f t="shared" si="71"/>
        <v>8.4742890071522995E-4</v>
      </c>
      <c r="M171" s="396">
        <f t="shared" si="71"/>
        <v>8.4742890071522995E-4</v>
      </c>
      <c r="N171" s="396">
        <f t="shared" si="71"/>
        <v>8.4742890071522995E-4</v>
      </c>
      <c r="O171" s="396">
        <f t="shared" si="71"/>
        <v>8.4742890071522995E-4</v>
      </c>
      <c r="P171" s="396">
        <f t="shared" si="71"/>
        <v>8.4742890071522995E-4</v>
      </c>
      <c r="Q171" s="396">
        <f t="shared" si="71"/>
        <v>8.4742890071522995E-4</v>
      </c>
      <c r="R171" s="396">
        <f t="shared" si="71"/>
        <v>8.4742890071522995E-4</v>
      </c>
      <c r="S171" s="396">
        <f t="shared" si="71"/>
        <v>8.4742890071522995E-4</v>
      </c>
      <c r="T171" s="396">
        <f t="shared" si="71"/>
        <v>8.4742890071522995E-4</v>
      </c>
      <c r="U171" s="396">
        <f t="shared" si="71"/>
        <v>8.4742890071522995E-4</v>
      </c>
      <c r="V171" s="396">
        <f t="shared" si="71"/>
        <v>8.4742890071522995E-4</v>
      </c>
      <c r="W171" s="396">
        <f t="shared" si="71"/>
        <v>8.4742890071522995E-4</v>
      </c>
      <c r="X171" s="396">
        <f t="shared" si="71"/>
        <v>8.4742890071522995E-4</v>
      </c>
      <c r="Y171" s="396">
        <f t="shared" si="71"/>
        <v>8.4742890071522995E-4</v>
      </c>
      <c r="Z171" s="396">
        <f t="shared" si="71"/>
        <v>8.4742890071522995E-4</v>
      </c>
      <c r="AA171" s="396">
        <f t="shared" si="71"/>
        <v>8.4742890071522995E-4</v>
      </c>
      <c r="AB171" s="396">
        <f t="shared" si="71"/>
        <v>8.4742890071522995E-4</v>
      </c>
      <c r="AC171" s="396">
        <f t="shared" si="71"/>
        <v>8.4742890071522995E-4</v>
      </c>
      <c r="AD171" s="396">
        <f t="shared" si="71"/>
        <v>8.4742890071522995E-4</v>
      </c>
      <c r="AE171" s="396">
        <f t="shared" si="71"/>
        <v>8.4742890071522995E-4</v>
      </c>
      <c r="AF171" s="396">
        <f t="shared" si="71"/>
        <v>8.4742890071522995E-4</v>
      </c>
      <c r="AG171" s="396">
        <f t="shared" si="71"/>
        <v>8.4742890071522995E-4</v>
      </c>
      <c r="AH171" s="396">
        <f t="shared" si="71"/>
        <v>8.4742890071522995E-4</v>
      </c>
      <c r="AI171" s="396">
        <f t="shared" si="71"/>
        <v>8.4742890071522995E-4</v>
      </c>
    </row>
    <row r="172" spans="1:35" x14ac:dyDescent="0.2">
      <c r="A172" s="98" t="s">
        <v>551</v>
      </c>
      <c r="B172" s="396">
        <v>0.2</v>
      </c>
      <c r="C172" s="589"/>
      <c r="D172" s="589"/>
      <c r="E172" s="589"/>
      <c r="F172" s="589"/>
      <c r="G172" s="589"/>
      <c r="H172" s="589"/>
      <c r="I172" s="589"/>
      <c r="J172" s="589"/>
      <c r="K172" s="589"/>
      <c r="L172" s="589"/>
      <c r="M172" s="589"/>
      <c r="N172" s="589"/>
      <c r="O172" s="589"/>
      <c r="P172" s="589"/>
      <c r="Q172" s="589"/>
      <c r="R172" s="589"/>
      <c r="S172" s="589"/>
      <c r="T172" s="589"/>
      <c r="U172" s="589"/>
      <c r="V172" s="589"/>
      <c r="W172" s="589"/>
      <c r="X172" s="589"/>
      <c r="Y172" s="589"/>
      <c r="Z172" s="589"/>
      <c r="AA172" s="589"/>
      <c r="AB172" s="589"/>
      <c r="AC172" s="589"/>
      <c r="AD172" s="589"/>
      <c r="AE172" s="589"/>
      <c r="AF172" s="589"/>
      <c r="AG172" s="589"/>
      <c r="AH172" s="589"/>
      <c r="AI172" s="589"/>
    </row>
    <row r="173" spans="1:35" x14ac:dyDescent="0.2">
      <c r="C173" s="399"/>
      <c r="D173" s="399"/>
      <c r="E173" s="399"/>
      <c r="F173" s="399"/>
      <c r="G173" s="399"/>
      <c r="H173" s="399"/>
      <c r="I173" s="399"/>
      <c r="J173" s="399"/>
      <c r="K173" s="399"/>
      <c r="L173" s="399"/>
      <c r="M173" s="399"/>
      <c r="N173" s="399"/>
      <c r="O173" s="399"/>
      <c r="P173" s="399"/>
      <c r="Q173" s="399"/>
      <c r="R173" s="399"/>
      <c r="S173" s="399"/>
      <c r="T173" s="399"/>
      <c r="U173" s="399"/>
      <c r="V173" s="399"/>
      <c r="W173" s="399"/>
      <c r="X173" s="399"/>
      <c r="Y173" s="399"/>
      <c r="Z173" s="399"/>
      <c r="AA173" s="399"/>
      <c r="AB173" s="399"/>
      <c r="AC173" s="399"/>
      <c r="AD173" s="399"/>
      <c r="AE173" s="399"/>
      <c r="AF173" s="399"/>
      <c r="AG173" s="399"/>
      <c r="AH173" s="399"/>
      <c r="AI173" s="399"/>
    </row>
    <row r="174" spans="1:35" x14ac:dyDescent="0.2">
      <c r="B174" s="72">
        <f>B13</f>
        <v>2019</v>
      </c>
      <c r="C174" s="399"/>
      <c r="D174" s="399"/>
      <c r="E174" s="399"/>
      <c r="F174" s="399"/>
      <c r="G174" s="399"/>
      <c r="H174" s="399"/>
      <c r="I174" s="399"/>
      <c r="J174" s="399"/>
      <c r="K174" s="399"/>
      <c r="L174" s="399"/>
      <c r="M174" s="399"/>
      <c r="N174" s="399"/>
      <c r="O174" s="399"/>
      <c r="P174" s="399"/>
      <c r="Q174" s="399"/>
      <c r="R174" s="399"/>
      <c r="S174" s="399"/>
      <c r="T174" s="399"/>
      <c r="U174" s="399"/>
      <c r="V174" s="399"/>
      <c r="W174" s="399"/>
      <c r="X174" s="399"/>
      <c r="Y174" s="399"/>
      <c r="Z174" s="399"/>
      <c r="AA174" s="399"/>
      <c r="AB174" s="399"/>
      <c r="AC174" s="399"/>
      <c r="AD174" s="399"/>
      <c r="AE174" s="399"/>
      <c r="AF174" s="399"/>
      <c r="AG174" s="399"/>
      <c r="AH174" s="399"/>
      <c r="AI174" s="399"/>
    </row>
    <row r="175" spans="1:35" x14ac:dyDescent="0.2">
      <c r="A175" s="372" t="s">
        <v>594</v>
      </c>
      <c r="B175" s="661">
        <v>7505223</v>
      </c>
    </row>
    <row r="176" spans="1:35" x14ac:dyDescent="0.2">
      <c r="A176" s="372" t="s">
        <v>595</v>
      </c>
      <c r="B176" s="661">
        <v>223428</v>
      </c>
    </row>
    <row r="177" spans="1:35" x14ac:dyDescent="0.2">
      <c r="A177" s="372" t="s">
        <v>596</v>
      </c>
      <c r="B177" s="661"/>
    </row>
    <row r="178" spans="1:35" x14ac:dyDescent="0.2">
      <c r="A178" s="394" t="s">
        <v>662</v>
      </c>
      <c r="B178" s="666">
        <f>Aprekini!B367</f>
        <v>0</v>
      </c>
    </row>
    <row r="179" spans="1:35" x14ac:dyDescent="0.2">
      <c r="A179" s="78" t="s">
        <v>525</v>
      </c>
      <c r="B179" s="661">
        <v>1731250.25</v>
      </c>
      <c r="D179" s="68"/>
      <c r="J179" s="353"/>
      <c r="K179" s="353"/>
      <c r="L179" s="353"/>
      <c r="M179" s="353"/>
    </row>
    <row r="181" spans="1:35" x14ac:dyDescent="0.2">
      <c r="A181" s="992" t="s">
        <v>473</v>
      </c>
      <c r="B181" s="993"/>
      <c r="C181" s="993"/>
      <c r="D181" s="993"/>
      <c r="E181" s="993"/>
      <c r="F181" s="993"/>
      <c r="G181" s="993"/>
      <c r="H181" s="993"/>
      <c r="I181" s="994"/>
    </row>
    <row r="182" spans="1:35" ht="25.5" x14ac:dyDescent="0.2">
      <c r="A182" s="397" t="s">
        <v>467</v>
      </c>
      <c r="B182" s="397"/>
      <c r="C182" s="397"/>
      <c r="D182" s="397"/>
      <c r="E182" s="397"/>
      <c r="F182" s="397"/>
      <c r="G182" s="397"/>
      <c r="H182" s="397"/>
    </row>
    <row r="183" spans="1:35" x14ac:dyDescent="0.2">
      <c r="A183" s="395"/>
      <c r="B183" s="91">
        <f>B166</f>
        <v>2020</v>
      </c>
      <c r="C183" s="92">
        <f t="shared" ref="C183:H183" si="72">B183+1</f>
        <v>2021</v>
      </c>
      <c r="D183" s="99">
        <f t="shared" si="72"/>
        <v>2022</v>
      </c>
      <c r="E183" s="99">
        <f t="shared" si="72"/>
        <v>2023</v>
      </c>
      <c r="F183" s="99">
        <f t="shared" si="72"/>
        <v>2024</v>
      </c>
      <c r="G183" s="99">
        <f t="shared" si="72"/>
        <v>2025</v>
      </c>
      <c r="H183" s="99">
        <f t="shared" si="72"/>
        <v>2026</v>
      </c>
      <c r="I183" s="99">
        <f t="shared" ref="I183:P183" si="73">H183+1</f>
        <v>2027</v>
      </c>
      <c r="J183" s="99">
        <f t="shared" si="73"/>
        <v>2028</v>
      </c>
      <c r="K183" s="99">
        <f t="shared" si="73"/>
        <v>2029</v>
      </c>
      <c r="L183" s="99">
        <f t="shared" si="73"/>
        <v>2030</v>
      </c>
      <c r="M183" s="99">
        <f t="shared" si="73"/>
        <v>2031</v>
      </c>
      <c r="N183" s="99">
        <f t="shared" si="73"/>
        <v>2032</v>
      </c>
      <c r="O183" s="99">
        <f t="shared" si="73"/>
        <v>2033</v>
      </c>
      <c r="P183" s="99">
        <f t="shared" si="73"/>
        <v>2034</v>
      </c>
      <c r="Q183" s="99">
        <f t="shared" ref="Q183:Z183" si="74">P183+1</f>
        <v>2035</v>
      </c>
      <c r="R183" s="99">
        <f t="shared" si="74"/>
        <v>2036</v>
      </c>
      <c r="S183" s="99">
        <f t="shared" si="74"/>
        <v>2037</v>
      </c>
      <c r="T183" s="99">
        <f t="shared" si="74"/>
        <v>2038</v>
      </c>
      <c r="U183" s="99">
        <f t="shared" si="74"/>
        <v>2039</v>
      </c>
      <c r="V183" s="99">
        <f t="shared" si="74"/>
        <v>2040</v>
      </c>
      <c r="W183" s="99">
        <f t="shared" si="74"/>
        <v>2041</v>
      </c>
      <c r="X183" s="99">
        <f t="shared" si="74"/>
        <v>2042</v>
      </c>
      <c r="Y183" s="99">
        <f t="shared" si="74"/>
        <v>2043</v>
      </c>
      <c r="Z183" s="99">
        <f t="shared" si="74"/>
        <v>2044</v>
      </c>
      <c r="AA183" s="99">
        <f t="shared" ref="AA183:AG183" si="75">Z183+1</f>
        <v>2045</v>
      </c>
      <c r="AB183" s="99">
        <f t="shared" si="75"/>
        <v>2046</v>
      </c>
      <c r="AC183" s="99">
        <f t="shared" si="75"/>
        <v>2047</v>
      </c>
      <c r="AD183" s="99">
        <f t="shared" si="75"/>
        <v>2048</v>
      </c>
      <c r="AE183" s="99">
        <f t="shared" si="75"/>
        <v>2049</v>
      </c>
      <c r="AF183" s="99">
        <f t="shared" si="75"/>
        <v>2050</v>
      </c>
      <c r="AG183" s="99">
        <f t="shared" si="75"/>
        <v>2051</v>
      </c>
      <c r="AH183" s="99">
        <f>AG183+1</f>
        <v>2052</v>
      </c>
      <c r="AI183" s="99">
        <f>AH183+1</f>
        <v>2053</v>
      </c>
    </row>
    <row r="184" spans="1:35" x14ac:dyDescent="0.2">
      <c r="A184" s="398" t="s">
        <v>474</v>
      </c>
      <c r="B184" s="649">
        <f>SUM(B185:B218)</f>
        <v>100000</v>
      </c>
      <c r="C184" s="649">
        <f t="shared" ref="C184:Z184" si="76">SUM(C185:C218)</f>
        <v>100000</v>
      </c>
      <c r="D184" s="649">
        <f t="shared" si="76"/>
        <v>100000</v>
      </c>
      <c r="E184" s="649">
        <f t="shared" si="76"/>
        <v>100000</v>
      </c>
      <c r="F184" s="649">
        <f t="shared" si="76"/>
        <v>100000</v>
      </c>
      <c r="G184" s="649">
        <f t="shared" si="76"/>
        <v>100000</v>
      </c>
      <c r="H184" s="649">
        <f t="shared" si="76"/>
        <v>100000</v>
      </c>
      <c r="I184" s="649">
        <f t="shared" si="76"/>
        <v>100000</v>
      </c>
      <c r="J184" s="649">
        <f t="shared" si="76"/>
        <v>100000</v>
      </c>
      <c r="K184" s="649">
        <f t="shared" si="76"/>
        <v>15000</v>
      </c>
      <c r="L184" s="649">
        <f t="shared" si="76"/>
        <v>15000</v>
      </c>
      <c r="M184" s="649">
        <f t="shared" si="76"/>
        <v>15000</v>
      </c>
      <c r="N184" s="649">
        <f t="shared" si="76"/>
        <v>15000</v>
      </c>
      <c r="O184" s="649">
        <f t="shared" si="76"/>
        <v>15000</v>
      </c>
      <c r="P184" s="649">
        <f t="shared" si="76"/>
        <v>15000</v>
      </c>
      <c r="Q184" s="649">
        <f t="shared" si="76"/>
        <v>15000</v>
      </c>
      <c r="R184" s="649">
        <f t="shared" si="76"/>
        <v>15000</v>
      </c>
      <c r="S184" s="649">
        <f t="shared" si="76"/>
        <v>15000</v>
      </c>
      <c r="T184" s="649">
        <f t="shared" si="76"/>
        <v>15000</v>
      </c>
      <c r="U184" s="649">
        <f t="shared" si="76"/>
        <v>15000</v>
      </c>
      <c r="V184" s="649">
        <f t="shared" si="76"/>
        <v>15000</v>
      </c>
      <c r="W184" s="649">
        <f t="shared" si="76"/>
        <v>15000</v>
      </c>
      <c r="X184" s="649">
        <f t="shared" si="76"/>
        <v>15000</v>
      </c>
      <c r="Y184" s="649">
        <f t="shared" si="76"/>
        <v>15000</v>
      </c>
      <c r="Z184" s="649">
        <f t="shared" si="76"/>
        <v>15000</v>
      </c>
      <c r="AA184" s="649">
        <f t="shared" ref="AA184:AG184" si="77">SUM(AA185:AA218)</f>
        <v>15000</v>
      </c>
      <c r="AB184" s="649">
        <f t="shared" si="77"/>
        <v>15000</v>
      </c>
      <c r="AC184" s="649">
        <f t="shared" si="77"/>
        <v>15000</v>
      </c>
      <c r="AD184" s="649">
        <f t="shared" si="77"/>
        <v>15000</v>
      </c>
      <c r="AE184" s="649">
        <f t="shared" si="77"/>
        <v>15000</v>
      </c>
      <c r="AF184" s="649">
        <f t="shared" si="77"/>
        <v>15000</v>
      </c>
      <c r="AG184" s="649">
        <f t="shared" si="77"/>
        <v>15000</v>
      </c>
      <c r="AH184" s="649">
        <f>SUM(AH185:AH218)</f>
        <v>15000</v>
      </c>
      <c r="AI184" s="649">
        <f>SUM(AI185:AI218)</f>
        <v>15000</v>
      </c>
    </row>
    <row r="185" spans="1:35" x14ac:dyDescent="0.2">
      <c r="A185" s="351" t="s">
        <v>466</v>
      </c>
      <c r="B185" s="78"/>
      <c r="C185" s="78"/>
      <c r="D185" s="78"/>
      <c r="E185" s="78"/>
      <c r="F185" s="78"/>
      <c r="G185" s="78"/>
      <c r="H185" s="78"/>
      <c r="I185" s="78"/>
      <c r="J185" s="78"/>
      <c r="K185" s="78"/>
      <c r="L185" s="78"/>
      <c r="M185" s="78"/>
      <c r="N185" s="78"/>
      <c r="O185" s="78"/>
      <c r="P185" s="78"/>
      <c r="Q185" s="78"/>
      <c r="R185" s="78"/>
      <c r="S185" s="78"/>
      <c r="T185" s="78"/>
      <c r="U185" s="78"/>
      <c r="V185" s="78"/>
      <c r="W185" s="78"/>
      <c r="X185" s="78"/>
      <c r="Y185" s="78"/>
      <c r="Z185" s="78"/>
      <c r="AA185" s="78"/>
      <c r="AB185" s="78"/>
      <c r="AC185" s="78"/>
      <c r="AD185" s="78"/>
      <c r="AE185" s="78"/>
      <c r="AF185" s="78"/>
      <c r="AG185" s="78"/>
      <c r="AH185" s="78"/>
      <c r="AI185" s="78"/>
    </row>
    <row r="186" spans="1:35" x14ac:dyDescent="0.2">
      <c r="A186" s="100"/>
      <c r="B186" s="793">
        <v>100000</v>
      </c>
      <c r="C186" s="793">
        <v>100000</v>
      </c>
      <c r="D186" s="793">
        <v>100000</v>
      </c>
      <c r="E186" s="793">
        <v>100000</v>
      </c>
      <c r="F186" s="793">
        <v>100000</v>
      </c>
      <c r="G186" s="793">
        <v>100000</v>
      </c>
      <c r="H186" s="793">
        <v>100000</v>
      </c>
      <c r="I186" s="793">
        <v>100000</v>
      </c>
      <c r="J186" s="793">
        <v>100000</v>
      </c>
      <c r="K186" s="793">
        <v>15000</v>
      </c>
      <c r="L186" s="793">
        <v>15000</v>
      </c>
      <c r="M186" s="793">
        <v>15000</v>
      </c>
      <c r="N186" s="793">
        <v>15000</v>
      </c>
      <c r="O186" s="793">
        <v>15000</v>
      </c>
      <c r="P186" s="793">
        <v>15000</v>
      </c>
      <c r="Q186" s="793">
        <v>15000</v>
      </c>
      <c r="R186" s="793">
        <v>15000</v>
      </c>
      <c r="S186" s="793">
        <v>15000</v>
      </c>
      <c r="T186" s="793">
        <v>15000</v>
      </c>
      <c r="U186" s="793">
        <v>15000</v>
      </c>
      <c r="V186" s="793">
        <v>15000</v>
      </c>
      <c r="W186" s="793">
        <v>15000</v>
      </c>
      <c r="X186" s="793">
        <v>15000</v>
      </c>
      <c r="Y186" s="793">
        <v>15000</v>
      </c>
      <c r="Z186" s="793">
        <v>15000</v>
      </c>
      <c r="AA186" s="793">
        <v>15000</v>
      </c>
      <c r="AB186" s="793">
        <v>15000</v>
      </c>
      <c r="AC186" s="793">
        <v>15000</v>
      </c>
      <c r="AD186" s="793">
        <v>15000</v>
      </c>
      <c r="AE186" s="793">
        <v>15000</v>
      </c>
      <c r="AF186" s="793">
        <v>15000</v>
      </c>
      <c r="AG186" s="793">
        <v>15000</v>
      </c>
      <c r="AH186" s="793">
        <v>15000</v>
      </c>
      <c r="AI186" s="793">
        <v>15000</v>
      </c>
    </row>
    <row r="187" spans="1:35" x14ac:dyDescent="0.2">
      <c r="A187" s="100"/>
      <c r="B187" s="794"/>
      <c r="C187" s="794"/>
      <c r="D187" s="794"/>
      <c r="E187" s="794"/>
      <c r="F187" s="794"/>
      <c r="G187" s="794"/>
      <c r="H187" s="794"/>
      <c r="I187" s="794"/>
      <c r="J187" s="794"/>
      <c r="K187" s="793"/>
      <c r="L187" s="793"/>
      <c r="M187" s="793"/>
      <c r="N187" s="793"/>
      <c r="O187" s="793"/>
      <c r="P187" s="793"/>
      <c r="Q187" s="793"/>
      <c r="R187" s="793"/>
      <c r="S187" s="793"/>
      <c r="T187" s="793"/>
      <c r="U187" s="793"/>
      <c r="V187" s="795"/>
      <c r="W187" s="795"/>
      <c r="X187" s="795"/>
      <c r="Y187" s="795"/>
      <c r="Z187" s="795"/>
      <c r="AA187" s="795"/>
      <c r="AB187" s="795"/>
      <c r="AC187" s="795"/>
      <c r="AD187" s="795"/>
      <c r="AE187" s="795"/>
      <c r="AF187" s="795"/>
      <c r="AG187" s="795"/>
      <c r="AH187" s="795"/>
      <c r="AI187" s="795"/>
    </row>
    <row r="188" spans="1:35" x14ac:dyDescent="0.2">
      <c r="A188" s="100"/>
      <c r="B188" s="794"/>
      <c r="C188" s="794"/>
      <c r="D188" s="794"/>
      <c r="E188" s="794"/>
      <c r="F188" s="794"/>
      <c r="G188" s="794"/>
      <c r="H188" s="794"/>
      <c r="I188" s="794"/>
      <c r="J188" s="794"/>
      <c r="K188" s="793"/>
      <c r="L188" s="793"/>
      <c r="M188" s="793"/>
      <c r="N188" s="793"/>
      <c r="O188" s="793"/>
      <c r="P188" s="793"/>
      <c r="Q188" s="793"/>
      <c r="R188" s="793"/>
      <c r="S188" s="793"/>
      <c r="T188" s="793"/>
      <c r="U188" s="793"/>
      <c r="V188" s="795"/>
      <c r="W188" s="795"/>
      <c r="X188" s="795"/>
      <c r="Y188" s="795"/>
      <c r="Z188" s="795"/>
      <c r="AA188" s="795"/>
      <c r="AB188" s="795"/>
      <c r="AC188" s="795"/>
      <c r="AD188" s="795"/>
      <c r="AE188" s="795"/>
      <c r="AF188" s="795"/>
      <c r="AG188" s="795"/>
      <c r="AH188" s="795"/>
      <c r="AI188" s="795"/>
    </row>
    <row r="189" spans="1:35" x14ac:dyDescent="0.2">
      <c r="A189" s="100"/>
      <c r="B189" s="794"/>
      <c r="C189" s="794"/>
      <c r="D189" s="794"/>
      <c r="E189" s="794"/>
      <c r="F189" s="794"/>
      <c r="G189" s="794"/>
      <c r="H189" s="794"/>
      <c r="I189" s="794"/>
      <c r="J189" s="794"/>
      <c r="K189" s="796"/>
      <c r="L189" s="796"/>
      <c r="M189" s="796"/>
      <c r="N189" s="796"/>
      <c r="O189" s="796"/>
      <c r="P189" s="796"/>
      <c r="Q189" s="796"/>
      <c r="R189" s="796"/>
      <c r="S189" s="796"/>
      <c r="T189" s="796"/>
      <c r="U189" s="796"/>
      <c r="V189" s="795"/>
      <c r="W189" s="795"/>
      <c r="X189" s="795"/>
      <c r="Y189" s="795"/>
      <c r="Z189" s="795"/>
      <c r="AA189" s="795"/>
      <c r="AB189" s="795"/>
      <c r="AC189" s="795"/>
      <c r="AD189" s="795"/>
      <c r="AE189" s="795"/>
      <c r="AF189" s="795"/>
      <c r="AG189" s="795"/>
      <c r="AH189" s="795"/>
      <c r="AI189" s="795"/>
    </row>
    <row r="190" spans="1:35" x14ac:dyDescent="0.2">
      <c r="A190" s="100"/>
      <c r="B190" s="794"/>
      <c r="C190" s="794"/>
      <c r="D190" s="794"/>
      <c r="E190" s="794"/>
      <c r="F190" s="794"/>
      <c r="G190" s="794"/>
      <c r="H190" s="794"/>
      <c r="I190" s="794"/>
      <c r="J190" s="794"/>
      <c r="K190" s="656"/>
      <c r="L190" s="656"/>
      <c r="M190" s="656"/>
      <c r="N190" s="656"/>
      <c r="O190" s="656"/>
      <c r="P190" s="656"/>
      <c r="Q190" s="656"/>
      <c r="R190" s="656"/>
      <c r="S190" s="656"/>
      <c r="T190" s="656"/>
      <c r="U190" s="656"/>
      <c r="V190" s="795"/>
      <c r="W190" s="795"/>
      <c r="X190" s="795"/>
      <c r="Y190" s="795"/>
      <c r="Z190" s="795"/>
      <c r="AA190" s="795"/>
      <c r="AB190" s="795"/>
      <c r="AC190" s="795"/>
      <c r="AD190" s="795"/>
      <c r="AE190" s="795"/>
      <c r="AF190" s="795"/>
      <c r="AG190" s="795"/>
      <c r="AH190" s="795"/>
      <c r="AI190" s="795"/>
    </row>
    <row r="191" spans="1:35" x14ac:dyDescent="0.2">
      <c r="A191" s="100"/>
      <c r="B191" s="794"/>
      <c r="C191" s="794"/>
      <c r="D191" s="794"/>
      <c r="E191" s="794"/>
      <c r="F191" s="794"/>
      <c r="G191" s="794"/>
      <c r="H191" s="794"/>
      <c r="I191" s="794"/>
      <c r="J191" s="794"/>
      <c r="K191" s="656"/>
      <c r="L191" s="656"/>
      <c r="M191" s="656"/>
      <c r="N191" s="656"/>
      <c r="O191" s="656"/>
      <c r="P191" s="656"/>
      <c r="Q191" s="656"/>
      <c r="R191" s="656"/>
      <c r="S191" s="656"/>
      <c r="T191" s="656"/>
      <c r="U191" s="656"/>
      <c r="V191" s="795"/>
      <c r="W191" s="795"/>
      <c r="X191" s="795"/>
      <c r="Y191" s="795"/>
      <c r="Z191" s="795"/>
      <c r="AA191" s="795"/>
      <c r="AB191" s="795"/>
      <c r="AC191" s="795"/>
      <c r="AD191" s="795"/>
      <c r="AE191" s="795"/>
      <c r="AF191" s="795"/>
      <c r="AG191" s="795"/>
      <c r="AH191" s="795"/>
      <c r="AI191" s="795"/>
    </row>
    <row r="192" spans="1:35" x14ac:dyDescent="0.2">
      <c r="A192" s="100"/>
      <c r="B192" s="794"/>
      <c r="C192" s="794"/>
      <c r="D192" s="794"/>
      <c r="E192" s="794"/>
      <c r="F192" s="794"/>
      <c r="G192" s="794"/>
      <c r="H192" s="794"/>
      <c r="I192" s="794"/>
      <c r="J192" s="794"/>
      <c r="K192" s="656"/>
      <c r="L192" s="656"/>
      <c r="M192" s="656"/>
      <c r="N192" s="656"/>
      <c r="O192" s="656"/>
      <c r="P192" s="656"/>
      <c r="Q192" s="656"/>
      <c r="R192" s="656"/>
      <c r="S192" s="656"/>
      <c r="T192" s="656"/>
      <c r="U192" s="656"/>
      <c r="V192" s="795"/>
      <c r="W192" s="795"/>
      <c r="X192" s="795"/>
      <c r="Y192" s="795"/>
      <c r="Z192" s="795"/>
      <c r="AA192" s="795"/>
      <c r="AB192" s="795"/>
      <c r="AC192" s="795"/>
      <c r="AD192" s="795"/>
      <c r="AE192" s="795"/>
      <c r="AF192" s="795"/>
      <c r="AG192" s="795"/>
      <c r="AH192" s="795"/>
      <c r="AI192" s="795"/>
    </row>
    <row r="193" spans="1:35" x14ac:dyDescent="0.2">
      <c r="A193" s="100"/>
      <c r="B193" s="794"/>
      <c r="C193" s="794"/>
      <c r="D193" s="794"/>
      <c r="E193" s="794"/>
      <c r="F193" s="794"/>
      <c r="G193" s="794"/>
      <c r="H193" s="794"/>
      <c r="I193" s="794"/>
      <c r="J193" s="794"/>
      <c r="K193" s="797"/>
      <c r="L193" s="797"/>
      <c r="M193" s="797"/>
      <c r="N193" s="797"/>
      <c r="O193" s="797"/>
      <c r="P193" s="797"/>
      <c r="Q193" s="797"/>
      <c r="R193" s="797"/>
      <c r="S193" s="797"/>
      <c r="T193" s="798"/>
      <c r="U193" s="797"/>
      <c r="V193" s="795"/>
      <c r="W193" s="795"/>
      <c r="X193" s="795"/>
      <c r="Y193" s="795"/>
      <c r="Z193" s="795"/>
      <c r="AA193" s="795"/>
      <c r="AB193" s="795"/>
      <c r="AC193" s="795"/>
      <c r="AD193" s="795"/>
      <c r="AE193" s="795"/>
      <c r="AF193" s="795"/>
      <c r="AG193" s="795"/>
      <c r="AH193" s="795"/>
      <c r="AI193" s="795"/>
    </row>
    <row r="194" spans="1:35" x14ac:dyDescent="0.2">
      <c r="A194" s="100"/>
      <c r="B194" s="794"/>
      <c r="C194" s="794"/>
      <c r="D194" s="794"/>
      <c r="E194" s="794"/>
      <c r="F194" s="794"/>
      <c r="G194" s="794"/>
      <c r="H194" s="794"/>
      <c r="I194" s="794"/>
      <c r="J194" s="794"/>
      <c r="K194" s="794"/>
      <c r="L194" s="794"/>
      <c r="M194" s="794"/>
      <c r="N194" s="794"/>
      <c r="O194" s="794"/>
      <c r="P194" s="794"/>
      <c r="Q194" s="794"/>
      <c r="R194" s="794"/>
      <c r="S194" s="794"/>
      <c r="T194" s="793"/>
      <c r="U194" s="794"/>
      <c r="V194" s="795"/>
      <c r="W194" s="795"/>
      <c r="X194" s="795"/>
      <c r="Y194" s="795"/>
      <c r="Z194" s="795"/>
      <c r="AA194" s="795"/>
      <c r="AB194" s="795"/>
      <c r="AC194" s="795"/>
      <c r="AD194" s="795"/>
      <c r="AE194" s="795"/>
      <c r="AF194" s="795"/>
      <c r="AG194" s="795"/>
      <c r="AH194" s="795"/>
      <c r="AI194" s="795"/>
    </row>
    <row r="195" spans="1:35" x14ac:dyDescent="0.2">
      <c r="A195" s="100"/>
      <c r="B195" s="794"/>
      <c r="C195" s="794"/>
      <c r="D195" s="794"/>
      <c r="E195" s="794"/>
      <c r="F195" s="794"/>
      <c r="G195" s="794"/>
      <c r="H195" s="794"/>
      <c r="I195" s="794"/>
      <c r="J195" s="794"/>
      <c r="K195" s="794"/>
      <c r="L195" s="794"/>
      <c r="M195" s="794"/>
      <c r="N195" s="794"/>
      <c r="O195" s="794"/>
      <c r="P195" s="794"/>
      <c r="Q195" s="794"/>
      <c r="R195" s="794"/>
      <c r="S195" s="794"/>
      <c r="T195" s="794"/>
      <c r="U195" s="794"/>
      <c r="V195" s="795"/>
      <c r="W195" s="795"/>
      <c r="X195" s="795"/>
      <c r="Y195" s="795"/>
      <c r="Z195" s="795"/>
      <c r="AA195" s="795"/>
      <c r="AB195" s="795"/>
      <c r="AC195" s="795"/>
      <c r="AD195" s="795"/>
      <c r="AE195" s="795"/>
      <c r="AF195" s="795"/>
      <c r="AG195" s="795"/>
      <c r="AH195" s="795"/>
      <c r="AI195" s="795"/>
    </row>
    <row r="196" spans="1:35" x14ac:dyDescent="0.2">
      <c r="A196" s="100"/>
      <c r="B196" s="794"/>
      <c r="C196" s="794"/>
      <c r="D196" s="794"/>
      <c r="E196" s="794"/>
      <c r="F196" s="794"/>
      <c r="G196" s="794"/>
      <c r="H196" s="794"/>
      <c r="I196" s="794"/>
      <c r="J196" s="794"/>
      <c r="K196" s="794"/>
      <c r="L196" s="794"/>
      <c r="M196" s="794"/>
      <c r="N196" s="794"/>
      <c r="O196" s="794"/>
      <c r="P196" s="794"/>
      <c r="Q196" s="794"/>
      <c r="R196" s="794"/>
      <c r="S196" s="794"/>
      <c r="T196" s="794"/>
      <c r="U196" s="794"/>
      <c r="V196" s="795"/>
      <c r="W196" s="795"/>
      <c r="X196" s="795"/>
      <c r="Y196" s="795"/>
      <c r="Z196" s="795"/>
      <c r="AA196" s="795"/>
      <c r="AB196" s="795"/>
      <c r="AC196" s="795"/>
      <c r="AD196" s="795"/>
      <c r="AE196" s="795"/>
      <c r="AF196" s="795"/>
      <c r="AG196" s="795"/>
      <c r="AH196" s="795"/>
      <c r="AI196" s="795"/>
    </row>
    <row r="197" spans="1:35" x14ac:dyDescent="0.2">
      <c r="A197" s="100"/>
      <c r="B197" s="794"/>
      <c r="C197" s="794"/>
      <c r="D197" s="794"/>
      <c r="E197" s="794"/>
      <c r="F197" s="794"/>
      <c r="G197" s="794"/>
      <c r="H197" s="794"/>
      <c r="I197" s="794"/>
      <c r="J197" s="794"/>
      <c r="K197" s="794"/>
      <c r="L197" s="794"/>
      <c r="M197" s="794"/>
      <c r="N197" s="794"/>
      <c r="O197" s="794"/>
      <c r="P197" s="794"/>
      <c r="Q197" s="794"/>
      <c r="R197" s="794"/>
      <c r="S197" s="794"/>
      <c r="T197" s="794"/>
      <c r="U197" s="794"/>
      <c r="V197" s="795"/>
      <c r="W197" s="795"/>
      <c r="X197" s="795"/>
      <c r="Y197" s="795"/>
      <c r="Z197" s="795"/>
      <c r="AA197" s="795"/>
      <c r="AB197" s="795"/>
      <c r="AC197" s="795"/>
      <c r="AD197" s="795"/>
      <c r="AE197" s="795"/>
      <c r="AF197" s="795"/>
      <c r="AG197" s="795"/>
      <c r="AH197" s="795"/>
      <c r="AI197" s="795"/>
    </row>
    <row r="198" spans="1:35" x14ac:dyDescent="0.2">
      <c r="A198" s="100"/>
      <c r="B198" s="794"/>
      <c r="C198" s="794"/>
      <c r="D198" s="794"/>
      <c r="E198" s="794"/>
      <c r="F198" s="794"/>
      <c r="G198" s="794"/>
      <c r="H198" s="794"/>
      <c r="I198" s="794"/>
      <c r="J198" s="794"/>
      <c r="K198" s="794"/>
      <c r="L198" s="794"/>
      <c r="M198" s="794"/>
      <c r="N198" s="794"/>
      <c r="O198" s="794"/>
      <c r="P198" s="794"/>
      <c r="Q198" s="794"/>
      <c r="R198" s="794"/>
      <c r="S198" s="794"/>
      <c r="T198" s="794"/>
      <c r="U198" s="794"/>
      <c r="V198" s="795"/>
      <c r="W198" s="795"/>
      <c r="X198" s="795"/>
      <c r="Y198" s="795"/>
      <c r="Z198" s="795"/>
      <c r="AA198" s="795"/>
      <c r="AB198" s="795"/>
      <c r="AC198" s="795"/>
      <c r="AD198" s="795"/>
      <c r="AE198" s="795"/>
      <c r="AF198" s="795"/>
      <c r="AG198" s="795"/>
      <c r="AH198" s="795"/>
      <c r="AI198" s="795"/>
    </row>
    <row r="199" spans="1:35" x14ac:dyDescent="0.2">
      <c r="A199" s="100"/>
      <c r="B199" s="794"/>
      <c r="C199" s="794"/>
      <c r="D199" s="794"/>
      <c r="E199" s="794"/>
      <c r="F199" s="794"/>
      <c r="G199" s="794"/>
      <c r="H199" s="794"/>
      <c r="I199" s="794"/>
      <c r="J199" s="794"/>
      <c r="K199" s="794"/>
      <c r="L199" s="794"/>
      <c r="M199" s="794"/>
      <c r="N199" s="794"/>
      <c r="O199" s="794"/>
      <c r="P199" s="794"/>
      <c r="Q199" s="794"/>
      <c r="R199" s="794"/>
      <c r="S199" s="794"/>
      <c r="T199" s="794"/>
      <c r="U199" s="794"/>
      <c r="V199" s="795"/>
      <c r="W199" s="795"/>
      <c r="X199" s="795"/>
      <c r="Y199" s="795"/>
      <c r="Z199" s="795"/>
      <c r="AA199" s="795"/>
      <c r="AB199" s="795"/>
      <c r="AC199" s="795"/>
      <c r="AD199" s="795"/>
      <c r="AE199" s="795"/>
      <c r="AF199" s="795"/>
      <c r="AG199" s="795"/>
      <c r="AH199" s="795"/>
      <c r="AI199" s="795"/>
    </row>
    <row r="200" spans="1:35" x14ac:dyDescent="0.2">
      <c r="A200" s="401"/>
      <c r="B200" s="795"/>
      <c r="C200" s="795"/>
      <c r="D200" s="795"/>
      <c r="E200" s="795"/>
      <c r="F200" s="795"/>
      <c r="G200" s="795"/>
      <c r="H200" s="795"/>
      <c r="I200" s="795"/>
      <c r="J200" s="795"/>
      <c r="K200" s="795"/>
      <c r="L200" s="795"/>
      <c r="M200" s="795"/>
      <c r="N200" s="795"/>
      <c r="O200" s="795"/>
      <c r="P200" s="795"/>
      <c r="Q200" s="795"/>
      <c r="R200" s="795"/>
      <c r="S200" s="795"/>
      <c r="T200" s="795"/>
      <c r="U200" s="795"/>
      <c r="V200" s="795"/>
      <c r="W200" s="795"/>
      <c r="X200" s="795"/>
      <c r="Y200" s="795"/>
      <c r="Z200" s="795"/>
      <c r="AA200" s="795"/>
      <c r="AB200" s="795"/>
      <c r="AC200" s="795"/>
      <c r="AD200" s="795"/>
      <c r="AE200" s="795"/>
      <c r="AF200" s="795"/>
      <c r="AG200" s="795"/>
      <c r="AH200" s="795"/>
      <c r="AI200" s="795"/>
    </row>
    <row r="201" spans="1:35" x14ac:dyDescent="0.2">
      <c r="A201" s="351" t="s">
        <v>477</v>
      </c>
      <c r="B201" s="670"/>
      <c r="C201" s="670"/>
      <c r="D201" s="670"/>
      <c r="E201" s="670"/>
      <c r="F201" s="670"/>
      <c r="G201" s="670"/>
      <c r="H201" s="670"/>
      <c r="I201" s="670"/>
      <c r="J201" s="670"/>
      <c r="K201" s="670"/>
      <c r="L201" s="670"/>
      <c r="M201" s="670"/>
      <c r="N201" s="670"/>
      <c r="O201" s="670"/>
      <c r="P201" s="670"/>
      <c r="Q201" s="670"/>
      <c r="R201" s="670"/>
      <c r="S201" s="670"/>
      <c r="T201" s="670"/>
      <c r="U201" s="670"/>
      <c r="V201" s="670"/>
      <c r="W201" s="670"/>
      <c r="X201" s="670"/>
      <c r="Y201" s="670"/>
      <c r="Z201" s="670"/>
      <c r="AA201" s="670"/>
      <c r="AB201" s="670"/>
      <c r="AC201" s="670"/>
      <c r="AD201" s="670"/>
      <c r="AE201" s="670"/>
      <c r="AF201" s="670"/>
      <c r="AG201" s="670"/>
      <c r="AH201" s="670"/>
      <c r="AI201" s="670"/>
    </row>
    <row r="202" spans="1:35" x14ac:dyDescent="0.2">
      <c r="A202" s="100"/>
      <c r="B202" s="669"/>
      <c r="C202" s="669"/>
      <c r="D202" s="669"/>
      <c r="E202" s="669"/>
      <c r="F202" s="669"/>
      <c r="G202" s="669"/>
      <c r="H202" s="669"/>
      <c r="I202" s="669"/>
      <c r="J202" s="669"/>
      <c r="K202" s="669"/>
      <c r="L202" s="669"/>
      <c r="M202" s="669"/>
      <c r="N202" s="669"/>
      <c r="O202" s="669"/>
      <c r="P202" s="669"/>
      <c r="Q202" s="669"/>
      <c r="R202" s="667"/>
      <c r="S202" s="668"/>
      <c r="T202" s="668"/>
      <c r="U202" s="668"/>
      <c r="V202" s="668"/>
      <c r="W202" s="668"/>
      <c r="X202" s="668"/>
      <c r="Y202" s="668"/>
      <c r="Z202" s="668"/>
      <c r="AA202" s="668"/>
      <c r="AB202" s="668"/>
      <c r="AC202" s="668"/>
      <c r="AD202" s="668"/>
      <c r="AE202" s="668"/>
      <c r="AF202" s="668"/>
      <c r="AG202" s="668"/>
      <c r="AH202" s="668"/>
      <c r="AI202" s="668"/>
    </row>
    <row r="203" spans="1:35" x14ac:dyDescent="0.2">
      <c r="A203" s="101"/>
      <c r="B203" s="668"/>
      <c r="C203" s="668"/>
      <c r="D203" s="668"/>
      <c r="E203" s="668"/>
      <c r="F203" s="668"/>
      <c r="G203" s="668"/>
      <c r="H203" s="668"/>
      <c r="I203" s="668"/>
      <c r="J203" s="668"/>
      <c r="K203" s="668"/>
      <c r="L203" s="668"/>
      <c r="M203" s="668"/>
      <c r="N203" s="668"/>
      <c r="O203" s="668"/>
      <c r="P203" s="668"/>
      <c r="Q203" s="668"/>
      <c r="R203" s="668"/>
      <c r="S203" s="668"/>
      <c r="T203" s="668"/>
      <c r="U203" s="668"/>
      <c r="V203" s="668"/>
      <c r="W203" s="668"/>
      <c r="X203" s="668"/>
      <c r="Y203" s="668"/>
      <c r="Z203" s="668"/>
      <c r="AA203" s="668"/>
      <c r="AB203" s="668"/>
      <c r="AC203" s="668"/>
      <c r="AD203" s="668"/>
      <c r="AE203" s="668"/>
      <c r="AF203" s="668"/>
      <c r="AG203" s="668"/>
      <c r="AH203" s="668"/>
      <c r="AI203" s="668"/>
    </row>
    <row r="204" spans="1:35" x14ac:dyDescent="0.2">
      <c r="A204" s="101"/>
      <c r="B204" s="668"/>
      <c r="C204" s="668"/>
      <c r="D204" s="668"/>
      <c r="E204" s="668"/>
      <c r="F204" s="668"/>
      <c r="G204" s="668"/>
      <c r="H204" s="668"/>
      <c r="I204" s="668"/>
      <c r="J204" s="668"/>
      <c r="K204" s="668"/>
      <c r="L204" s="668"/>
      <c r="M204" s="668"/>
      <c r="N204" s="668"/>
      <c r="O204" s="668"/>
      <c r="P204" s="668"/>
      <c r="Q204" s="668"/>
      <c r="R204" s="668"/>
      <c r="S204" s="668"/>
      <c r="T204" s="668"/>
      <c r="U204" s="668"/>
      <c r="V204" s="668"/>
      <c r="W204" s="668"/>
      <c r="X204" s="668"/>
      <c r="Y204" s="668"/>
      <c r="Z204" s="668"/>
      <c r="AA204" s="668"/>
      <c r="AB204" s="668"/>
      <c r="AC204" s="668"/>
      <c r="AD204" s="668"/>
      <c r="AE204" s="668"/>
      <c r="AF204" s="668"/>
      <c r="AG204" s="668"/>
      <c r="AH204" s="668"/>
      <c r="AI204" s="668"/>
    </row>
    <row r="205" spans="1:35" x14ac:dyDescent="0.2">
      <c r="A205" s="101"/>
      <c r="B205" s="668"/>
      <c r="C205" s="668"/>
      <c r="D205" s="668"/>
      <c r="E205" s="668"/>
      <c r="F205" s="668"/>
      <c r="G205" s="668"/>
      <c r="H205" s="668"/>
      <c r="I205" s="668"/>
      <c r="J205" s="668"/>
      <c r="K205" s="668"/>
      <c r="L205" s="668"/>
      <c r="M205" s="668"/>
      <c r="N205" s="668"/>
      <c r="O205" s="668"/>
      <c r="P205" s="668"/>
      <c r="Q205" s="668"/>
      <c r="R205" s="668"/>
      <c r="S205" s="668"/>
      <c r="T205" s="668"/>
      <c r="U205" s="668"/>
      <c r="V205" s="668"/>
      <c r="W205" s="668"/>
      <c r="X205" s="668"/>
      <c r="Y205" s="668"/>
      <c r="Z205" s="668"/>
      <c r="AA205" s="668"/>
      <c r="AB205" s="668"/>
      <c r="AC205" s="668"/>
      <c r="AD205" s="668"/>
      <c r="AE205" s="668"/>
      <c r="AF205" s="668"/>
      <c r="AG205" s="668"/>
      <c r="AH205" s="668"/>
      <c r="AI205" s="668"/>
    </row>
    <row r="206" spans="1:35" ht="15.75" customHeight="1" x14ac:dyDescent="0.2">
      <c r="A206" s="101"/>
      <c r="B206" s="668"/>
      <c r="C206" s="668"/>
      <c r="D206" s="668"/>
      <c r="E206" s="668"/>
      <c r="F206" s="668"/>
      <c r="G206" s="668"/>
      <c r="H206" s="668"/>
      <c r="I206" s="668"/>
      <c r="J206" s="668"/>
      <c r="K206" s="668"/>
      <c r="L206" s="668"/>
      <c r="M206" s="668"/>
      <c r="N206" s="668"/>
      <c r="O206" s="668"/>
      <c r="P206" s="668"/>
      <c r="Q206" s="668"/>
      <c r="R206" s="668"/>
      <c r="S206" s="668"/>
      <c r="T206" s="668"/>
      <c r="U206" s="668"/>
      <c r="V206" s="668"/>
      <c r="W206" s="668"/>
      <c r="X206" s="668"/>
      <c r="Y206" s="668"/>
      <c r="Z206" s="668"/>
      <c r="AA206" s="668"/>
      <c r="AB206" s="668"/>
      <c r="AC206" s="668"/>
      <c r="AD206" s="668"/>
      <c r="AE206" s="668"/>
      <c r="AF206" s="668"/>
      <c r="AG206" s="668"/>
      <c r="AH206" s="668"/>
      <c r="AI206" s="668"/>
    </row>
    <row r="207" spans="1:35" x14ac:dyDescent="0.2">
      <c r="A207" s="101"/>
      <c r="B207" s="668"/>
      <c r="C207" s="668"/>
      <c r="D207" s="668"/>
      <c r="E207" s="668"/>
      <c r="F207" s="668"/>
      <c r="G207" s="668"/>
      <c r="H207" s="668"/>
      <c r="I207" s="668"/>
      <c r="J207" s="668"/>
      <c r="K207" s="668"/>
      <c r="L207" s="668"/>
      <c r="M207" s="668"/>
      <c r="N207" s="668"/>
      <c r="O207" s="668"/>
      <c r="P207" s="668"/>
      <c r="Q207" s="668"/>
      <c r="R207" s="668"/>
      <c r="S207" s="668"/>
      <c r="T207" s="668"/>
      <c r="U207" s="668"/>
      <c r="V207" s="668"/>
      <c r="W207" s="668"/>
      <c r="X207" s="668"/>
      <c r="Y207" s="668"/>
      <c r="Z207" s="668"/>
      <c r="AA207" s="668"/>
      <c r="AB207" s="668"/>
      <c r="AC207" s="668"/>
      <c r="AD207" s="668"/>
      <c r="AE207" s="668"/>
      <c r="AF207" s="668"/>
      <c r="AG207" s="668"/>
      <c r="AH207" s="668"/>
      <c r="AI207" s="668"/>
    </row>
    <row r="208" spans="1:35" x14ac:dyDescent="0.2">
      <c r="A208" s="101"/>
      <c r="B208" s="668"/>
      <c r="C208" s="668"/>
      <c r="D208" s="668"/>
      <c r="E208" s="668"/>
      <c r="F208" s="668"/>
      <c r="G208" s="668"/>
      <c r="H208" s="668"/>
      <c r="I208" s="668"/>
      <c r="J208" s="668"/>
      <c r="K208" s="668"/>
      <c r="L208" s="668"/>
      <c r="M208" s="668"/>
      <c r="N208" s="668"/>
      <c r="O208" s="668"/>
      <c r="P208" s="668"/>
      <c r="Q208" s="668"/>
      <c r="R208" s="668"/>
      <c r="S208" s="668"/>
      <c r="T208" s="668"/>
      <c r="U208" s="668"/>
      <c r="V208" s="668"/>
      <c r="W208" s="668"/>
      <c r="X208" s="668"/>
      <c r="Y208" s="668"/>
      <c r="Z208" s="668"/>
      <c r="AA208" s="668"/>
      <c r="AB208" s="668"/>
      <c r="AC208" s="668"/>
      <c r="AD208" s="668"/>
      <c r="AE208" s="668"/>
      <c r="AF208" s="668"/>
      <c r="AG208" s="668"/>
      <c r="AH208" s="668"/>
      <c r="AI208" s="668"/>
    </row>
    <row r="209" spans="1:35" x14ac:dyDescent="0.2">
      <c r="A209" s="102"/>
      <c r="B209" s="668"/>
      <c r="C209" s="668"/>
      <c r="D209" s="668"/>
      <c r="E209" s="668"/>
      <c r="F209" s="668"/>
      <c r="G209" s="668"/>
      <c r="H209" s="668"/>
      <c r="I209" s="668"/>
      <c r="J209" s="668"/>
      <c r="K209" s="668"/>
      <c r="L209" s="668"/>
      <c r="M209" s="668"/>
      <c r="N209" s="668"/>
      <c r="O209" s="668"/>
      <c r="P209" s="668"/>
      <c r="Q209" s="668"/>
      <c r="R209" s="668"/>
      <c r="S209" s="668"/>
      <c r="T209" s="668"/>
      <c r="U209" s="668"/>
      <c r="V209" s="668"/>
      <c r="W209" s="668"/>
      <c r="X209" s="668"/>
      <c r="Y209" s="668"/>
      <c r="Z209" s="668"/>
      <c r="AA209" s="668"/>
      <c r="AB209" s="668"/>
      <c r="AC209" s="668"/>
      <c r="AD209" s="668"/>
      <c r="AE209" s="668"/>
      <c r="AF209" s="668"/>
      <c r="AG209" s="668"/>
      <c r="AH209" s="668"/>
      <c r="AI209" s="668"/>
    </row>
    <row r="210" spans="1:35" x14ac:dyDescent="0.2">
      <c r="A210" s="401"/>
      <c r="B210" s="668"/>
      <c r="C210" s="668"/>
      <c r="D210" s="668"/>
      <c r="E210" s="668"/>
      <c r="F210" s="668"/>
      <c r="G210" s="668"/>
      <c r="H210" s="668"/>
      <c r="I210" s="668"/>
      <c r="J210" s="668"/>
      <c r="K210" s="668"/>
      <c r="L210" s="668"/>
      <c r="M210" s="668"/>
      <c r="N210" s="668"/>
      <c r="O210" s="668"/>
      <c r="P210" s="668"/>
      <c r="Q210" s="668"/>
      <c r="R210" s="668"/>
      <c r="S210" s="668"/>
      <c r="T210" s="668"/>
      <c r="U210" s="668"/>
      <c r="V210" s="668"/>
      <c r="W210" s="668"/>
      <c r="X210" s="668"/>
      <c r="Y210" s="668"/>
      <c r="Z210" s="668"/>
      <c r="AA210" s="668"/>
      <c r="AB210" s="668"/>
      <c r="AC210" s="668"/>
      <c r="AD210" s="668"/>
      <c r="AE210" s="668"/>
      <c r="AF210" s="668"/>
      <c r="AG210" s="668"/>
      <c r="AH210" s="668"/>
      <c r="AI210" s="668"/>
    </row>
    <row r="211" spans="1:35" x14ac:dyDescent="0.2">
      <c r="A211" s="401"/>
      <c r="B211" s="668"/>
      <c r="C211" s="668"/>
      <c r="D211" s="668"/>
      <c r="E211" s="668"/>
      <c r="F211" s="668"/>
      <c r="G211" s="668"/>
      <c r="H211" s="668"/>
      <c r="I211" s="668"/>
      <c r="J211" s="668"/>
      <c r="K211" s="668"/>
      <c r="L211" s="668"/>
      <c r="M211" s="668"/>
      <c r="N211" s="668"/>
      <c r="O211" s="668"/>
      <c r="P211" s="668"/>
      <c r="Q211" s="668"/>
      <c r="R211" s="668"/>
      <c r="S211" s="668"/>
      <c r="T211" s="668"/>
      <c r="U211" s="668"/>
      <c r="V211" s="668"/>
      <c r="W211" s="668"/>
      <c r="X211" s="668"/>
      <c r="Y211" s="668"/>
      <c r="Z211" s="668"/>
      <c r="AA211" s="668"/>
      <c r="AB211" s="668"/>
      <c r="AC211" s="668"/>
      <c r="AD211" s="668"/>
      <c r="AE211" s="668"/>
      <c r="AF211" s="668"/>
      <c r="AG211" s="668"/>
      <c r="AH211" s="668"/>
      <c r="AI211" s="668"/>
    </row>
    <row r="212" spans="1:35" x14ac:dyDescent="0.2">
      <c r="A212" s="401"/>
      <c r="B212" s="668"/>
      <c r="C212" s="668"/>
      <c r="D212" s="668"/>
      <c r="E212" s="668"/>
      <c r="F212" s="668"/>
      <c r="G212" s="668"/>
      <c r="H212" s="668"/>
      <c r="I212" s="668"/>
      <c r="J212" s="668"/>
      <c r="K212" s="668"/>
      <c r="L212" s="668"/>
      <c r="M212" s="668"/>
      <c r="N212" s="668"/>
      <c r="O212" s="668"/>
      <c r="P212" s="668"/>
      <c r="Q212" s="668"/>
      <c r="R212" s="668"/>
      <c r="S212" s="668"/>
      <c r="T212" s="668"/>
      <c r="U212" s="668"/>
      <c r="V212" s="668"/>
      <c r="W212" s="668"/>
      <c r="X212" s="668"/>
      <c r="Y212" s="668"/>
      <c r="Z212" s="668"/>
      <c r="AA212" s="668"/>
      <c r="AB212" s="668"/>
      <c r="AC212" s="668"/>
      <c r="AD212" s="668"/>
      <c r="AE212" s="668"/>
      <c r="AF212" s="668"/>
      <c r="AG212" s="668"/>
      <c r="AH212" s="668"/>
      <c r="AI212" s="668"/>
    </row>
    <row r="213" spans="1:35" x14ac:dyDescent="0.2">
      <c r="A213" s="401"/>
      <c r="B213" s="668"/>
      <c r="C213" s="668"/>
      <c r="D213" s="668"/>
      <c r="E213" s="668"/>
      <c r="F213" s="668"/>
      <c r="G213" s="668"/>
      <c r="H213" s="668"/>
      <c r="I213" s="668"/>
      <c r="J213" s="668"/>
      <c r="K213" s="668"/>
      <c r="L213" s="668"/>
      <c r="M213" s="668"/>
      <c r="N213" s="668"/>
      <c r="O213" s="668"/>
      <c r="P213" s="668"/>
      <c r="Q213" s="668"/>
      <c r="R213" s="668"/>
      <c r="S213" s="668"/>
      <c r="T213" s="668"/>
      <c r="U213" s="668"/>
      <c r="V213" s="668"/>
      <c r="W213" s="668"/>
      <c r="X213" s="668"/>
      <c r="Y213" s="668"/>
      <c r="Z213" s="668"/>
      <c r="AA213" s="668"/>
      <c r="AB213" s="668"/>
      <c r="AC213" s="668"/>
      <c r="AD213" s="668"/>
      <c r="AE213" s="668"/>
      <c r="AF213" s="668"/>
      <c r="AG213" s="668"/>
      <c r="AH213" s="668"/>
      <c r="AI213" s="668"/>
    </row>
    <row r="214" spans="1:35" x14ac:dyDescent="0.2">
      <c r="A214" s="401"/>
      <c r="B214" s="668"/>
      <c r="C214" s="668"/>
      <c r="D214" s="668"/>
      <c r="E214" s="668"/>
      <c r="F214" s="668"/>
      <c r="G214" s="668"/>
      <c r="H214" s="668"/>
      <c r="I214" s="668"/>
      <c r="J214" s="668"/>
      <c r="K214" s="668"/>
      <c r="L214" s="668"/>
      <c r="M214" s="668"/>
      <c r="N214" s="668"/>
      <c r="O214" s="668"/>
      <c r="P214" s="668"/>
      <c r="Q214" s="668"/>
      <c r="R214" s="668"/>
      <c r="S214" s="668"/>
      <c r="T214" s="668"/>
      <c r="U214" s="668"/>
      <c r="V214" s="668"/>
      <c r="W214" s="668"/>
      <c r="X214" s="668"/>
      <c r="Y214" s="668"/>
      <c r="Z214" s="668"/>
      <c r="AA214" s="668"/>
      <c r="AB214" s="668"/>
      <c r="AC214" s="668"/>
      <c r="AD214" s="668"/>
      <c r="AE214" s="668"/>
      <c r="AF214" s="668"/>
      <c r="AG214" s="668"/>
      <c r="AH214" s="668"/>
      <c r="AI214" s="668"/>
    </row>
    <row r="215" spans="1:35" x14ac:dyDescent="0.2">
      <c r="A215" s="401"/>
      <c r="B215" s="668"/>
      <c r="C215" s="668"/>
      <c r="D215" s="668"/>
      <c r="E215" s="668"/>
      <c r="F215" s="668"/>
      <c r="G215" s="668"/>
      <c r="H215" s="668"/>
      <c r="I215" s="668"/>
      <c r="J215" s="668"/>
      <c r="K215" s="668"/>
      <c r="L215" s="668"/>
      <c r="M215" s="668"/>
      <c r="N215" s="668"/>
      <c r="O215" s="668"/>
      <c r="P215" s="668"/>
      <c r="Q215" s="668"/>
      <c r="R215" s="668"/>
      <c r="S215" s="668"/>
      <c r="T215" s="668"/>
      <c r="U215" s="668"/>
      <c r="V215" s="668"/>
      <c r="W215" s="668"/>
      <c r="X215" s="668"/>
      <c r="Y215" s="668"/>
      <c r="Z215" s="668"/>
      <c r="AA215" s="668"/>
      <c r="AB215" s="668"/>
      <c r="AC215" s="668"/>
      <c r="AD215" s="668"/>
      <c r="AE215" s="668"/>
      <c r="AF215" s="668"/>
      <c r="AG215" s="668"/>
      <c r="AH215" s="668"/>
      <c r="AI215" s="668"/>
    </row>
    <row r="216" spans="1:35" x14ac:dyDescent="0.2">
      <c r="A216" s="401"/>
      <c r="B216" s="668"/>
      <c r="C216" s="668"/>
      <c r="D216" s="668"/>
      <c r="E216" s="668"/>
      <c r="F216" s="668"/>
      <c r="G216" s="668"/>
      <c r="H216" s="668"/>
      <c r="I216" s="668"/>
      <c r="J216" s="668"/>
      <c r="K216" s="668"/>
      <c r="L216" s="668"/>
      <c r="M216" s="668"/>
      <c r="N216" s="668"/>
      <c r="O216" s="668"/>
      <c r="P216" s="668"/>
      <c r="Q216" s="668"/>
      <c r="R216" s="668"/>
      <c r="S216" s="668"/>
      <c r="T216" s="668"/>
      <c r="U216" s="668"/>
      <c r="V216" s="668"/>
      <c r="W216" s="668"/>
      <c r="X216" s="668"/>
      <c r="Y216" s="668"/>
      <c r="Z216" s="668"/>
      <c r="AA216" s="668"/>
      <c r="AB216" s="668"/>
      <c r="AC216" s="668"/>
      <c r="AD216" s="668"/>
      <c r="AE216" s="668"/>
      <c r="AF216" s="668"/>
      <c r="AG216" s="668"/>
      <c r="AH216" s="668"/>
      <c r="AI216" s="668"/>
    </row>
    <row r="217" spans="1:35" x14ac:dyDescent="0.2">
      <c r="A217" s="401"/>
      <c r="B217" s="668"/>
      <c r="C217" s="668"/>
      <c r="D217" s="668"/>
      <c r="E217" s="668"/>
      <c r="F217" s="668"/>
      <c r="G217" s="668"/>
      <c r="H217" s="668"/>
      <c r="I217" s="668"/>
      <c r="J217" s="668"/>
      <c r="K217" s="668"/>
      <c r="L217" s="668"/>
      <c r="M217" s="668"/>
      <c r="N217" s="668"/>
      <c r="O217" s="668"/>
      <c r="P217" s="668"/>
      <c r="Q217" s="668"/>
      <c r="R217" s="668"/>
      <c r="S217" s="668"/>
      <c r="T217" s="668"/>
      <c r="U217" s="668"/>
      <c r="V217" s="668"/>
      <c r="W217" s="668"/>
      <c r="X217" s="668"/>
      <c r="Y217" s="668"/>
      <c r="Z217" s="668"/>
      <c r="AA217" s="668"/>
      <c r="AB217" s="668"/>
      <c r="AC217" s="668"/>
      <c r="AD217" s="668"/>
      <c r="AE217" s="668"/>
      <c r="AF217" s="668"/>
      <c r="AG217" s="668"/>
      <c r="AH217" s="668"/>
      <c r="AI217" s="668"/>
    </row>
    <row r="220" spans="1:35" x14ac:dyDescent="0.2">
      <c r="A220" s="992" t="s">
        <v>468</v>
      </c>
      <c r="B220" s="993"/>
      <c r="C220" s="993"/>
      <c r="D220" s="993"/>
      <c r="E220" s="993"/>
      <c r="F220" s="993"/>
      <c r="G220" s="993"/>
      <c r="H220" s="993"/>
      <c r="I220" s="994"/>
    </row>
    <row r="221" spans="1:35" ht="15" customHeight="1" x14ac:dyDescent="0.2">
      <c r="B221" s="1001" t="s">
        <v>29</v>
      </c>
      <c r="C221" s="1001"/>
      <c r="D221" s="1001" t="s">
        <v>39</v>
      </c>
      <c r="E221" s="1001"/>
    </row>
    <row r="222" spans="1:35" x14ac:dyDescent="0.2">
      <c r="B222" s="402">
        <v>2018</v>
      </c>
      <c r="C222" s="403">
        <v>2019</v>
      </c>
      <c r="D222" s="402">
        <v>2018</v>
      </c>
      <c r="E222" s="403">
        <v>2019</v>
      </c>
    </row>
    <row r="223" spans="1:35" ht="25.5" x14ac:dyDescent="0.2">
      <c r="A223" s="624" t="s">
        <v>597</v>
      </c>
      <c r="B223" s="74"/>
      <c r="C223" s="74"/>
      <c r="D223" s="74"/>
      <c r="E223" s="74"/>
    </row>
    <row r="224" spans="1:35" x14ac:dyDescent="0.2">
      <c r="A224" s="624" t="s">
        <v>464</v>
      </c>
      <c r="B224" s="74"/>
      <c r="C224" s="74"/>
      <c r="D224" s="74"/>
      <c r="E224" s="74"/>
    </row>
    <row r="225" spans="1:14" ht="25.5" x14ac:dyDescent="0.2">
      <c r="A225" s="624" t="s">
        <v>465</v>
      </c>
      <c r="B225" s="74"/>
      <c r="C225" s="74"/>
      <c r="D225" s="74"/>
      <c r="E225" s="74"/>
    </row>
    <row r="226" spans="1:14" x14ac:dyDescent="0.2">
      <c r="A226" s="68"/>
      <c r="B226" s="68"/>
    </row>
    <row r="227" spans="1:14" s="399" customFormat="1" x14ac:dyDescent="0.2">
      <c r="A227" s="590"/>
      <c r="B227" s="620">
        <v>2009</v>
      </c>
      <c r="C227" s="621">
        <f t="shared" ref="C227" si="78">B227+1</f>
        <v>2010</v>
      </c>
      <c r="D227" s="622">
        <f t="shared" ref="D227" si="79">C227+1</f>
        <v>2011</v>
      </c>
      <c r="E227" s="622">
        <f t="shared" ref="E227" si="80">D227+1</f>
        <v>2012</v>
      </c>
      <c r="F227" s="622">
        <f t="shared" ref="F227" si="81">E227+1</f>
        <v>2013</v>
      </c>
      <c r="G227" s="622">
        <f t="shared" ref="G227" si="82">F227+1</f>
        <v>2014</v>
      </c>
      <c r="H227" s="622">
        <f t="shared" ref="H227" si="83">G227+1</f>
        <v>2015</v>
      </c>
      <c r="I227" s="622">
        <f t="shared" ref="I227" si="84">H227+1</f>
        <v>2016</v>
      </c>
      <c r="J227" s="622">
        <f t="shared" ref="J227" si="85">I227+1</f>
        <v>2017</v>
      </c>
      <c r="K227" s="622">
        <f t="shared" ref="K227" si="86">J227+1</f>
        <v>2018</v>
      </c>
      <c r="L227" s="622">
        <f t="shared" ref="L227" si="87">K227+1</f>
        <v>2019</v>
      </c>
      <c r="M227" s="622">
        <f t="shared" ref="M227" si="88">L227+1</f>
        <v>2020</v>
      </c>
      <c r="N227" s="622">
        <f t="shared" ref="N227" si="89">M227+1</f>
        <v>2021</v>
      </c>
    </row>
    <row r="228" spans="1:14" s="399" customFormat="1" ht="25.5" x14ac:dyDescent="0.2">
      <c r="A228" s="623" t="s">
        <v>487</v>
      </c>
      <c r="B228" s="74"/>
      <c r="C228" s="74"/>
      <c r="D228" s="74"/>
      <c r="E228" s="74"/>
      <c r="F228" s="74"/>
      <c r="G228" s="74"/>
      <c r="H228" s="74"/>
      <c r="I228" s="74"/>
      <c r="J228" s="74"/>
      <c r="K228" s="74"/>
      <c r="L228" s="74"/>
      <c r="M228" s="74"/>
      <c r="N228" s="74"/>
    </row>
    <row r="229" spans="1:14" s="399" customFormat="1" ht="25.5" x14ac:dyDescent="0.2">
      <c r="A229" s="623" t="s">
        <v>488</v>
      </c>
      <c r="B229" s="74"/>
      <c r="C229" s="74"/>
      <c r="D229" s="74"/>
      <c r="E229" s="74"/>
      <c r="F229" s="74"/>
      <c r="G229" s="74"/>
      <c r="H229" s="74"/>
      <c r="I229" s="74"/>
      <c r="J229" s="74"/>
      <c r="K229" s="74"/>
      <c r="L229" s="74"/>
      <c r="M229" s="74"/>
      <c r="N229" s="74"/>
    </row>
    <row r="230" spans="1:14" s="399" customFormat="1" ht="25.5" x14ac:dyDescent="0.2">
      <c r="A230" s="623" t="s">
        <v>489</v>
      </c>
      <c r="B230" s="74"/>
      <c r="C230" s="74"/>
      <c r="D230" s="74"/>
      <c r="E230" s="74"/>
      <c r="F230" s="74"/>
      <c r="G230" s="74"/>
      <c r="H230" s="74"/>
      <c r="I230" s="74"/>
      <c r="J230" s="74"/>
      <c r="K230" s="74"/>
      <c r="L230" s="74"/>
      <c r="M230" s="74"/>
      <c r="N230" s="74"/>
    </row>
    <row r="231" spans="1:14" s="399" customFormat="1" ht="25.5" x14ac:dyDescent="0.2">
      <c r="A231" s="623" t="s">
        <v>490</v>
      </c>
      <c r="B231" s="74"/>
      <c r="C231" s="74"/>
      <c r="D231" s="74"/>
      <c r="E231" s="74"/>
      <c r="F231" s="74"/>
      <c r="G231" s="74"/>
      <c r="H231" s="74"/>
      <c r="I231" s="74"/>
      <c r="J231" s="74"/>
      <c r="K231" s="74"/>
      <c r="L231" s="74"/>
      <c r="M231" s="74"/>
      <c r="N231" s="74"/>
    </row>
  </sheetData>
  <sheetProtection algorithmName="SHA-512" hashValue="V/vfO9GM1qaJ6AG6BFpdM/T4ujB7h3Td4FYRhjUP3PtXrT0x9Vhirt7ByYSGfXReHKNIaXLuPvqW8zkzswNsXg==" saltValue="r76NmGQRbN7iO/62WPO1yw==" spinCount="100000" sheet="1" objects="1" scenarios="1" formatCells="0" formatColumns="0" formatRows="0" insertRows="0" deleteRows="0"/>
  <mergeCells count="50">
    <mergeCell ref="A17:I17"/>
    <mergeCell ref="A42:I42"/>
    <mergeCell ref="A43:H43"/>
    <mergeCell ref="B15:G15"/>
    <mergeCell ref="H10:J10"/>
    <mergeCell ref="H11:J11"/>
    <mergeCell ref="H12:J12"/>
    <mergeCell ref="H14:J14"/>
    <mergeCell ref="H15:J15"/>
    <mergeCell ref="H18:J18"/>
    <mergeCell ref="B10:G10"/>
    <mergeCell ref="B11:G11"/>
    <mergeCell ref="B12:G12"/>
    <mergeCell ref="B13:G13"/>
    <mergeCell ref="B14:G14"/>
    <mergeCell ref="A2:E2"/>
    <mergeCell ref="A3:E3"/>
    <mergeCell ref="A4:E4"/>
    <mergeCell ref="A5:E5"/>
    <mergeCell ref="A6:E6"/>
    <mergeCell ref="B221:C221"/>
    <mergeCell ref="D221:E221"/>
    <mergeCell ref="B8:G8"/>
    <mergeCell ref="A9:I9"/>
    <mergeCell ref="I43:L43"/>
    <mergeCell ref="I154:L154"/>
    <mergeCell ref="D139:F139"/>
    <mergeCell ref="D140:F140"/>
    <mergeCell ref="D131:H131"/>
    <mergeCell ref="C97:F97"/>
    <mergeCell ref="H149:I149"/>
    <mergeCell ref="B152:G152"/>
    <mergeCell ref="A151:I151"/>
    <mergeCell ref="B149:G149"/>
    <mergeCell ref="I45:L45"/>
    <mergeCell ref="I46:L46"/>
    <mergeCell ref="M42:S42"/>
    <mergeCell ref="M43:Q43"/>
    <mergeCell ref="R43:S43"/>
    <mergeCell ref="I47:L47"/>
    <mergeCell ref="A220:I220"/>
    <mergeCell ref="A181:I181"/>
    <mergeCell ref="A130:I130"/>
    <mergeCell ref="A76:I76"/>
    <mergeCell ref="A96:I96"/>
    <mergeCell ref="B148:G148"/>
    <mergeCell ref="A64:H64"/>
    <mergeCell ref="A56:H56"/>
    <mergeCell ref="J96:M96"/>
    <mergeCell ref="J97:M97"/>
  </mergeCells>
  <phoneticPr fontId="2" type="noConversion"/>
  <conditionalFormatting sqref="J149 J138">
    <cfRule type="cellIs" priority="13" stopIfTrue="1" operator="notBetween">
      <formula>0.02</formula>
      <formula>0.04</formula>
    </cfRule>
  </conditionalFormatting>
  <conditionalFormatting sqref="B152 B149 B10 B12">
    <cfRule type="cellIs" priority="11" stopIfTrue="1" operator="equal">
      <formula>"Ierakstīt pašvaldības nosaukumu"</formula>
    </cfRule>
  </conditionalFormatting>
  <conditionalFormatting sqref="N56">
    <cfRule type="cellIs" dxfId="7" priority="5" operator="equal">
      <formula>FALSE</formula>
    </cfRule>
    <cfRule type="cellIs" dxfId="6" priority="6" operator="equal">
      <formula>FALSE</formula>
    </cfRule>
  </conditionalFormatting>
  <conditionalFormatting sqref="O56">
    <cfRule type="cellIs" dxfId="5" priority="4" operator="equal">
      <formula>FALSE</formula>
    </cfRule>
  </conditionalFormatting>
  <conditionalFormatting sqref="P56">
    <cfRule type="cellIs" dxfId="4" priority="1" operator="equal">
      <formula>FALSE</formula>
    </cfRule>
    <cfRule type="cellIs" priority="3" operator="equal">
      <formula>FALSE</formula>
    </cfRule>
  </conditionalFormatting>
  <conditionalFormatting sqref="Q56">
    <cfRule type="cellIs" dxfId="3" priority="2" operator="equal">
      <formula>FALSE</formula>
    </cfRule>
  </conditionalFormatting>
  <dataValidations xWindow="219" yWindow="345" count="13">
    <dataValidation type="whole" allowBlank="1" showErrorMessage="1" error="Jāievada vesels skaitlis starp 0 un 40" sqref="B156 B162">
      <formula1>0</formula1>
      <formula2>40</formula2>
    </dataValidation>
    <dataValidation operator="equal" allowBlank="1" showErrorMessage="1" errorTitle="Jāievada pozitīvs skaitlis" error="Jāievada pozitīvs skaitlis" sqref="B63:H63 B98:AN100 B166:AI166 B82:H85 B26:B40 B183:AI184 C45:H54 C116:C120 B56:H56 B43:H43 B142:AI142 B227:N227 B131:C131 B97 B106:AN106 B153:H153 B19:B24 B65:H74 B90:H93 B52:B55 C55 B45:B50 B222:E222 B124:B129 B109:B121 AJ109:AN121 C121:AI121 C109:AI115 C124:AN128 D117:AI120">
      <formula1>0</formula1>
      <formula2>0</formula2>
    </dataValidation>
    <dataValidation type="decimal" operator="greaterThan" allowBlank="1" showErrorMessage="1" error="Jāievada pozitīvs skaitlis" sqref="B147">
      <formula1>0</formula1>
      <formula2>0</formula2>
    </dataValidation>
    <dataValidation type="decimal" allowBlank="1" showErrorMessage="1" error="Jāievada pozitīvs skaitlis, ne lielāks kā 7%" sqref="B138:C138">
      <formula1>0</formula1>
      <formula2>0.07</formula2>
    </dataValidation>
    <dataValidation operator="equal" allowBlank="1" showErrorMessage="1" error="Jāievada pozitīvs skaitlis" sqref="B132:C133 B135:C136 B13:B15 G2">
      <formula1>0</formula1>
      <formula2>0</formula2>
    </dataValidation>
    <dataValidation type="whole" operator="greaterThan" allowBlank="1" showErrorMessage="1" error="Jāievada pozitīvs skaitlis" sqref="G3">
      <formula1>0</formula1>
      <formula2>0</formula2>
    </dataValidation>
    <dataValidation type="decimal" operator="greaterThanOrEqual" allowBlank="1" showErrorMessage="1" errorTitle="Jāievada pozitīvs skaitlis" error="Jāievada pozitīvs skaitlis" sqref="B199:U199 K187:S192 U195:U198 T187:U194">
      <formula1>0</formula1>
      <formula2>0</formula2>
    </dataValidation>
    <dataValidation type="decimal" operator="greaterThanOrEqual" allowBlank="1" showErrorMessage="1" error="Jāievada pozitīvs skaitlis" sqref="B202:R202 B186:AI186">
      <formula1>0</formula1>
      <formula2>0</formula2>
    </dataValidation>
    <dataValidation type="list" operator="equal" allowBlank="1" showErrorMessage="1" sqref="B152">
      <formula1>$AK$1:$AK$2</formula1>
      <formula2>0</formula2>
    </dataValidation>
    <dataValidation type="list" operator="equal" allowBlank="1" showInputMessage="1" showErrorMessage="1" promptTitle="Maksātspēja:" prompt="Izvēlieties, vai projekta ienākumus veidot no mājsaimniecību maksājumiem, kas sedz pilnas projekta izmaksas; vai arī no mājsaimniecību maksājumiem, kas ir maksimāli lieli, bet nepārsniedz pieņēmumos noteikto pieļaujamo % no mājsaimniecību ienākumiem." sqref="B148">
      <formula1>$AK$5:$AK$6</formula1>
      <formula2>0</formula2>
    </dataValidation>
    <dataValidation type="list" operator="equal" allowBlank="1" showInputMessage="1" showErrorMessage="1" promptTitle="Tarifa aprēķins" prompt="Izvēlieties vai tarifa aprēķinā iekļaut aizņēmumu projekta īstenošanai, vai kopējo pamatlīdzekļu nolietojumu." sqref="B149">
      <formula1>$AK$7:$AK$8</formula1>
      <formula2>0</formula2>
    </dataValidation>
    <dataValidation type="list" operator="equal" allowBlank="1" showErrorMessage="1" sqref="B12">
      <formula1>$AK$3:$AK$4</formula1>
      <formula2>0</formula2>
    </dataValidation>
    <dataValidation type="list" allowBlank="1" showErrorMessage="1" error="Jāievada vesels skaitlis starp 0 un 40" sqref="B158">
      <formula1>$AK$1:$AK$2</formula1>
    </dataValidation>
  </dataValidations>
  <pageMargins left="0.7" right="0.7" top="0.75" bottom="0.75" header="0.51180555555555551" footer="0.51180555555555551"/>
  <pageSetup paperSize="9"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59999389629810485"/>
  </sheetPr>
  <dimension ref="A1:AI64"/>
  <sheetViews>
    <sheetView showGridLines="0" zoomScaleSheetLayoutView="90" workbookViewId="0">
      <pane xSplit="1" topLeftCell="B1" activePane="topRight" state="frozen"/>
      <selection pane="topRight" activeCell="G8" sqref="G8"/>
    </sheetView>
  </sheetViews>
  <sheetFormatPr defaultColWidth="9.140625" defaultRowHeight="12" x14ac:dyDescent="0.2"/>
  <cols>
    <col min="1" max="1" width="42.7109375" style="1" customWidth="1"/>
    <col min="2" max="35" width="11.7109375" style="1" bestFit="1" customWidth="1"/>
    <col min="36" max="16384" width="9.140625" style="1"/>
  </cols>
  <sheetData>
    <row r="1" spans="1:35" ht="40.5" customHeight="1" x14ac:dyDescent="0.2">
      <c r="A1" s="1051" t="s">
        <v>510</v>
      </c>
      <c r="B1" s="1051"/>
      <c r="C1" s="1051"/>
    </row>
    <row r="2" spans="1:35" ht="16.5" x14ac:dyDescent="0.2">
      <c r="A2" s="970">
        <f>'Datu ievade'!B10</f>
        <v>0</v>
      </c>
      <c r="B2" s="971">
        <f>'Datu ievade'!B11</f>
        <v>0</v>
      </c>
      <c r="C2" s="49"/>
      <c r="D2" s="49"/>
      <c r="E2" s="49"/>
      <c r="F2" s="49"/>
    </row>
    <row r="3" spans="1:35" ht="0.75" customHeight="1" x14ac:dyDescent="0.2">
      <c r="A3" s="49"/>
      <c r="B3" s="49"/>
      <c r="C3" s="49"/>
      <c r="D3" s="49"/>
      <c r="E3" s="49"/>
      <c r="F3" s="49"/>
    </row>
    <row r="4" spans="1:35" ht="36" x14ac:dyDescent="0.2">
      <c r="A4" s="50" t="s">
        <v>422</v>
      </c>
      <c r="B4" s="51"/>
      <c r="C4" s="51"/>
      <c r="D4" s="51"/>
      <c r="E4" s="51"/>
      <c r="F4" s="51"/>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2"/>
    </row>
    <row r="5" spans="1:35" s="4" customFormat="1" ht="12.75" x14ac:dyDescent="0.2">
      <c r="A5" s="52"/>
      <c r="B5" s="53"/>
      <c r="C5" s="53"/>
      <c r="D5" s="53"/>
      <c r="E5" s="53"/>
      <c r="F5" s="53"/>
      <c r="G5" s="18"/>
      <c r="H5" s="18"/>
      <c r="I5" s="18"/>
      <c r="J5" s="18"/>
      <c r="K5" s="18"/>
      <c r="L5" s="18"/>
      <c r="M5" s="18"/>
      <c r="N5" s="18"/>
      <c r="O5" s="18"/>
      <c r="P5" s="18"/>
      <c r="Q5" s="19" t="s">
        <v>16</v>
      </c>
      <c r="R5" s="18"/>
      <c r="S5" s="18"/>
      <c r="T5" s="18"/>
      <c r="U5" s="18"/>
      <c r="V5" s="18"/>
      <c r="W5" s="18"/>
      <c r="X5" s="18"/>
      <c r="Y5" s="18"/>
      <c r="Z5" s="18"/>
      <c r="AA5" s="18"/>
      <c r="AB5" s="18"/>
      <c r="AC5" s="18"/>
      <c r="AD5" s="18"/>
      <c r="AE5" s="18"/>
      <c r="AF5" s="18"/>
      <c r="AG5" s="18"/>
      <c r="AH5" s="18"/>
      <c r="AI5" s="3"/>
    </row>
    <row r="6" spans="1:35" s="4" customFormat="1" ht="12.75" x14ac:dyDescent="0.2">
      <c r="A6" s="52"/>
      <c r="B6" s="54">
        <f>Aprekini!B5</f>
        <v>2019</v>
      </c>
      <c r="C6" s="54">
        <f t="shared" ref="C6:AG6" si="0">B6+1</f>
        <v>2020</v>
      </c>
      <c r="D6" s="54">
        <f t="shared" si="0"/>
        <v>2021</v>
      </c>
      <c r="E6" s="54">
        <f t="shared" si="0"/>
        <v>2022</v>
      </c>
      <c r="F6" s="54">
        <f t="shared" si="0"/>
        <v>2023</v>
      </c>
      <c r="G6" s="20">
        <f t="shared" si="0"/>
        <v>2024</v>
      </c>
      <c r="H6" s="20">
        <f t="shared" si="0"/>
        <v>2025</v>
      </c>
      <c r="I6" s="20">
        <f t="shared" si="0"/>
        <v>2026</v>
      </c>
      <c r="J6" s="20">
        <f t="shared" si="0"/>
        <v>2027</v>
      </c>
      <c r="K6" s="20">
        <f t="shared" si="0"/>
        <v>2028</v>
      </c>
      <c r="L6" s="20">
        <f t="shared" si="0"/>
        <v>2029</v>
      </c>
      <c r="M6" s="20">
        <f t="shared" si="0"/>
        <v>2030</v>
      </c>
      <c r="N6" s="20">
        <f t="shared" si="0"/>
        <v>2031</v>
      </c>
      <c r="O6" s="20">
        <f t="shared" si="0"/>
        <v>2032</v>
      </c>
      <c r="P6" s="20">
        <f t="shared" si="0"/>
        <v>2033</v>
      </c>
      <c r="Q6" s="20">
        <f t="shared" si="0"/>
        <v>2034</v>
      </c>
      <c r="R6" s="20">
        <f t="shared" si="0"/>
        <v>2035</v>
      </c>
      <c r="S6" s="20">
        <f t="shared" si="0"/>
        <v>2036</v>
      </c>
      <c r="T6" s="20">
        <f t="shared" si="0"/>
        <v>2037</v>
      </c>
      <c r="U6" s="20">
        <f t="shared" si="0"/>
        <v>2038</v>
      </c>
      <c r="V6" s="20">
        <f t="shared" si="0"/>
        <v>2039</v>
      </c>
      <c r="W6" s="20">
        <f t="shared" si="0"/>
        <v>2040</v>
      </c>
      <c r="X6" s="20">
        <f t="shared" si="0"/>
        <v>2041</v>
      </c>
      <c r="Y6" s="20">
        <f t="shared" si="0"/>
        <v>2042</v>
      </c>
      <c r="Z6" s="20">
        <f t="shared" si="0"/>
        <v>2043</v>
      </c>
      <c r="AA6" s="20">
        <f t="shared" si="0"/>
        <v>2044</v>
      </c>
      <c r="AB6" s="20">
        <f t="shared" si="0"/>
        <v>2045</v>
      </c>
      <c r="AC6" s="20">
        <f t="shared" si="0"/>
        <v>2046</v>
      </c>
      <c r="AD6" s="20">
        <f t="shared" si="0"/>
        <v>2047</v>
      </c>
      <c r="AE6" s="20">
        <f t="shared" si="0"/>
        <v>2048</v>
      </c>
      <c r="AF6" s="20">
        <f t="shared" si="0"/>
        <v>2049</v>
      </c>
      <c r="AG6" s="20">
        <f t="shared" si="0"/>
        <v>2050</v>
      </c>
      <c r="AH6" s="20">
        <f>AG6+1</f>
        <v>2051</v>
      </c>
      <c r="AI6" s="20">
        <f>AH6+1</f>
        <v>2052</v>
      </c>
    </row>
    <row r="7" spans="1:35" s="4" customFormat="1" ht="12.75" x14ac:dyDescent="0.2">
      <c r="A7" s="55" t="s">
        <v>53</v>
      </c>
      <c r="B7" s="56"/>
      <c r="C7" s="56"/>
      <c r="D7" s="56"/>
      <c r="E7" s="56"/>
      <c r="F7" s="56"/>
      <c r="G7" s="21"/>
      <c r="H7" s="21"/>
      <c r="I7" s="21"/>
      <c r="J7" s="21"/>
      <c r="K7" s="21"/>
      <c r="L7" s="21"/>
      <c r="M7" s="21"/>
      <c r="N7" s="21"/>
      <c r="O7" s="21"/>
      <c r="P7" s="21"/>
      <c r="Q7" s="21"/>
      <c r="R7" s="21"/>
      <c r="S7" s="21"/>
      <c r="T7" s="21"/>
      <c r="U7" s="20"/>
      <c r="V7" s="20"/>
      <c r="W7" s="20"/>
      <c r="X7" s="20"/>
      <c r="Y7" s="20"/>
      <c r="Z7" s="20"/>
      <c r="AA7" s="20"/>
      <c r="AB7" s="20"/>
      <c r="AC7" s="20"/>
      <c r="AD7" s="20"/>
      <c r="AE7" s="20"/>
      <c r="AF7" s="20"/>
      <c r="AG7" s="20"/>
      <c r="AH7" s="20"/>
      <c r="AI7" s="20"/>
    </row>
    <row r="8" spans="1:35" s="4" customFormat="1" ht="12.75" x14ac:dyDescent="0.2">
      <c r="A8" s="57" t="s">
        <v>54</v>
      </c>
      <c r="B8" s="735">
        <f>Aprekini!B341-Aprekini!B321-Aprekini!B326</f>
        <v>183168.89599999995</v>
      </c>
      <c r="C8" s="735">
        <f>Aprekini!C341-Aprekini!C321-Aprekini!C326</f>
        <v>108367.05070000002</v>
      </c>
      <c r="D8" s="735">
        <f>Aprekini!D341-Aprekini!D321-Aprekini!D326</f>
        <v>30323.301999999894</v>
      </c>
      <c r="E8" s="735">
        <f>Aprekini!E341-Aprekini!E321-Aprekini!E326</f>
        <v>36139.085999999996</v>
      </c>
      <c r="F8" s="735">
        <f>Aprekini!F341-Aprekini!F321-Aprekini!F326</f>
        <v>34970.703999999896</v>
      </c>
      <c r="G8" s="735">
        <f>Aprekini!G341-Aprekini!G321-Aprekini!G326</f>
        <v>36662.17999999992</v>
      </c>
      <c r="H8" s="735">
        <f>Aprekini!H341-Aprekini!H321-Aprekini!H326</f>
        <v>38701.77599999994</v>
      </c>
      <c r="I8" s="735">
        <f>Aprekini!I341-Aprekini!I321-Aprekini!I326</f>
        <v>37185.273999999961</v>
      </c>
      <c r="J8" s="735">
        <f>Aprekini!J341-Aprekini!J321-Aprekini!J326</f>
        <v>39224.869999999981</v>
      </c>
      <c r="K8" s="735">
        <f>Aprekini!K341-Aprekini!K321-Aprekini!K326</f>
        <v>40916.346000000005</v>
      </c>
      <c r="L8" s="735">
        <f>Aprekini!L341-Aprekini!L321-Aprekini!L326</f>
        <v>42163.102000000057</v>
      </c>
      <c r="M8" s="735">
        <f>Aprekini!M341-Aprekini!M321-Aprekini!M326</f>
        <v>40201.87999999999</v>
      </c>
      <c r="N8" s="735">
        <f>Aprekini!N341-Aprekini!N321-Aprekini!N326</f>
        <v>47614.878000000019</v>
      </c>
      <c r="O8" s="735">
        <f>Aprekini!O341-Aprekini!O321-Aprekini!O326</f>
        <v>45451.633999999955</v>
      </c>
      <c r="P8" s="735">
        <f>Aprekini!P341-Aprekini!P321-Aprekini!P326</f>
        <v>44828.989999999867</v>
      </c>
      <c r="Q8" s="735">
        <f>Aprekini!Q341-Aprekini!Q321-Aprekini!Q326</f>
        <v>47414.323999999899</v>
      </c>
      <c r="R8" s="735">
        <f>Aprekini!R341-Aprekini!R321-Aprekini!R326</f>
        <v>46791.680000000044</v>
      </c>
      <c r="S8" s="735">
        <f>Aprekini!S341-Aprekini!S321-Aprekini!S326</f>
        <v>49377.014000000076</v>
      </c>
      <c r="T8" s="735">
        <f>Aprekini!T341-Aprekini!T321-Aprekini!T326</f>
        <v>48754.369999999988</v>
      </c>
      <c r="U8" s="735">
        <f>Aprekini!U341-Aprekini!U321-Aprekini!U326</f>
        <v>51339.703999999903</v>
      </c>
      <c r="V8" s="735">
        <f>Aprekini!V341-Aprekini!V321-Aprekini!V326</f>
        <v>51065.179999999928</v>
      </c>
      <c r="W8" s="735">
        <f>Aprekini!W341-Aprekini!W321-Aprekini!W326</f>
        <v>53650.513999999959</v>
      </c>
      <c r="X8" s="735">
        <f>Aprekini!X341-Aprekini!X321-Aprekini!X326</f>
        <v>53027.869999999872</v>
      </c>
      <c r="Y8" s="735">
        <f>Aprekini!Y341-Aprekini!Y321-Aprekini!Y326</f>
        <v>55613.203999999903</v>
      </c>
      <c r="Z8" s="735">
        <f>Aprekini!Z341-Aprekini!Z321-Aprekini!Z326</f>
        <v>54990.559999999932</v>
      </c>
      <c r="AA8" s="735">
        <f>Aprekini!AA341-Aprekini!AA321-Aprekini!AA326</f>
        <v>57575.893999999964</v>
      </c>
      <c r="AB8" s="735">
        <f>Aprekini!AB341-Aprekini!AB321-Aprekini!AB326</f>
        <v>59368.388000000028</v>
      </c>
      <c r="AC8" s="735">
        <f>Aprekini!AC341-Aprekini!AC321-Aprekini!AC326</f>
        <v>58301.023999999969</v>
      </c>
      <c r="AD8" s="735">
        <f>Aprekini!AD341-Aprekini!AD321-Aprekini!AD326</f>
        <v>60093.517999999916</v>
      </c>
      <c r="AE8" s="735">
        <f>Aprekini!AE341-Aprekini!AE321-Aprekini!AE326</f>
        <v>61886.011999999864</v>
      </c>
      <c r="AF8" s="735">
        <f>Aprekini!AF341-Aprekini!AF321-Aprekini!AF326</f>
        <v>62357.226000000133</v>
      </c>
      <c r="AG8" s="735">
        <f>Aprekini!AG341-Aprekini!AG321-Aprekini!AG326</f>
        <v>62480.320000000058</v>
      </c>
      <c r="AH8" s="735">
        <f>Aprekini!AH341-Aprekini!AH321-Aprekini!AH326</f>
        <v>66159.511999999988</v>
      </c>
      <c r="AI8" s="735">
        <f>Aprekini!AI341-Aprekini!AI321-Aprekini!AI326</f>
        <v>66282.605999999912</v>
      </c>
    </row>
    <row r="9" spans="1:35" s="6" customFormat="1" ht="12.75" x14ac:dyDescent="0.2">
      <c r="A9" s="58" t="s">
        <v>55</v>
      </c>
      <c r="B9" s="760">
        <f>-'Saimnieciskas pamatdarbibas NP'!B95*'gadu šķirošana'!C64</f>
        <v>-34067.239800000003</v>
      </c>
      <c r="C9" s="760">
        <f>-'Saimnieciskas pamatdarbibas NP'!C95*'gadu šķirošana'!D64</f>
        <v>-31043.239700000002</v>
      </c>
      <c r="D9" s="760">
        <f>-'Saimnieciskas pamatdarbibas NP'!D95*'gadu šķirošana'!E64</f>
        <v>-29163.564099999996</v>
      </c>
      <c r="E9" s="760">
        <f>-'Saimnieciskas pamatdarbibas NP'!E95*'gadu šķirošana'!F64</f>
        <v>-30127.515299999999</v>
      </c>
      <c r="F9" s="760">
        <f>-'Saimnieciskas pamatdarbibas NP'!F95*'gadu šķirošana'!G64</f>
        <v>-30549.004200000003</v>
      </c>
      <c r="G9" s="761">
        <f>-'Saimnieciskas pamatdarbibas NP'!G95*'gadu šķirošana'!H64</f>
        <v>-31113.486000000001</v>
      </c>
      <c r="H9" s="761">
        <f>-'Saimnieciskas pamatdarbibas NP'!H95*'gadu šķirošana'!I64</f>
        <v>-31695.373800000001</v>
      </c>
      <c r="I9" s="761">
        <f>-'Saimnieciskas pamatdarbibas NP'!I95*'gadu šķirošana'!J64</f>
        <v>-32099.456700000006</v>
      </c>
      <c r="J9" s="761">
        <f>-'Saimnieciskas pamatdarbibas NP'!J95*'gadu šķirošana'!K64</f>
        <v>-32681.344499999996</v>
      </c>
      <c r="K9" s="761">
        <f>-'Saimnieciskas pamatdarbibas NP'!K95*'gadu šķirošana'!L64</f>
        <v>-33245.826300000001</v>
      </c>
      <c r="L9" s="761">
        <f>-'Saimnieciskas pamatdarbibas NP'!L95*'gadu šķirošana'!M64</f>
        <v>-33862.526100000003</v>
      </c>
      <c r="M9" s="761">
        <f>-'Saimnieciskas pamatdarbibas NP'!M95*'gadu šķirošana'!N64</f>
        <v>-34318.827000000005</v>
      </c>
      <c r="N9" s="761">
        <f>-'Saimnieciskas pamatdarbibas NP'!N95*'gadu šķirošana'!O64</f>
        <v>-34444.413900000007</v>
      </c>
      <c r="O9" s="761">
        <f>-'Saimnieciskas pamatdarbibas NP'!O95*'gadu šķirošana'!P64</f>
        <v>-35061.113700000002</v>
      </c>
      <c r="P9" s="761">
        <f>-'Saimnieciskas pamatdarbibas NP'!P95*'gadu šķirošana'!Q64</f>
        <v>-35764.843499999995</v>
      </c>
      <c r="Q9" s="761">
        <f>-'Saimnieciskas pamatdarbibas NP'!Q95*'gadu šķirošana'!R64</f>
        <v>-36628.972199999997</v>
      </c>
      <c r="R9" s="761">
        <f>-'Saimnieciskas pamatdarbibas NP'!R95*'gadu šķirošana'!S64</f>
        <v>-37332.702000000005</v>
      </c>
      <c r="S9" s="761">
        <f>-'Saimnieciskas pamatdarbibas NP'!S95*'gadu šķirošana'!T64</f>
        <v>-38196.830700000006</v>
      </c>
      <c r="T9" s="761">
        <f>-'Saimnieciskas pamatdarbibas NP'!T95*'gadu šķirošana'!U64</f>
        <v>-38900.5605</v>
      </c>
      <c r="U9" s="761">
        <f>-'Saimnieciskas pamatdarbibas NP'!U95*'gadu šķirošana'!V64</f>
        <v>-39764.689200000001</v>
      </c>
      <c r="V9" s="761">
        <f>-'Saimnieciskas pamatdarbibas NP'!V95*'gadu šķirošana'!W64</f>
        <v>-40485.825000000004</v>
      </c>
      <c r="W9" s="761">
        <f>-'Saimnieciskas pamatdarbibas NP'!W95*'gadu šķirošana'!X64</f>
        <v>-41349.953700000005</v>
      </c>
      <c r="X9" s="761">
        <f>-'Saimnieciskas pamatdarbibas NP'!X95*'gadu šķirošana'!Y64</f>
        <v>-42053.683499999999</v>
      </c>
      <c r="Y9" s="761">
        <f>-'Saimnieciskas pamatdarbibas NP'!Y95*'gadu šķirošana'!Z64</f>
        <v>-42917.8122</v>
      </c>
      <c r="Z9" s="761">
        <f>-'Saimnieciskas pamatdarbibas NP'!Z95*'gadu šķirošana'!AA64</f>
        <v>-43621.542000000001</v>
      </c>
      <c r="AA9" s="761">
        <f>-'Saimnieciskas pamatdarbibas NP'!AA95*'gadu šķirošana'!AB64</f>
        <v>-44485.670700000002</v>
      </c>
      <c r="AB9" s="761">
        <f>-'Saimnieciskas pamatdarbibas NP'!AB95*'gadu šķirošana'!AC64</f>
        <v>-45384.611400000002</v>
      </c>
      <c r="AC9" s="761">
        <f>-'Saimnieciskas pamatdarbibas NP'!AC95*'gadu šķirošana'!AD64</f>
        <v>-46140.559200000003</v>
      </c>
      <c r="AD9" s="761">
        <f>-'Saimnieciskas pamatdarbibas NP'!AD95*'gadu šķirošana'!AE64</f>
        <v>-47039.499899999995</v>
      </c>
      <c r="AE9" s="761">
        <f>-'Saimnieciskas pamatdarbibas NP'!AE95*'gadu šķirošana'!AF64</f>
        <v>-47938.440600000002</v>
      </c>
      <c r="AF9" s="761">
        <f>-'Saimnieciskas pamatdarbibas NP'!AF95*'gadu šķirošana'!AG64</f>
        <v>-48941.81730000001</v>
      </c>
      <c r="AG9" s="761">
        <f>-'Saimnieciskas pamatdarbibas NP'!AG95*'gadu šķirošana'!AH64</f>
        <v>-49927.788</v>
      </c>
      <c r="AH9" s="761">
        <f>-'Saimnieciskas pamatdarbibas NP'!AH95*'gadu šķirošana'!AI64</f>
        <v>-51091.563600000001</v>
      </c>
      <c r="AI9" s="761">
        <f>-'Saimnieciskas pamatdarbibas NP'!AI95*'gadu šķirošana'!AJ64</f>
        <v>-52077.534299999999</v>
      </c>
    </row>
    <row r="10" spans="1:35" s="6" customFormat="1" ht="12.75" x14ac:dyDescent="0.2">
      <c r="A10" s="58" t="s">
        <v>56</v>
      </c>
      <c r="B10" s="760">
        <f>Aprekini!B340</f>
        <v>20781</v>
      </c>
      <c r="C10" s="760">
        <f>Aprekini!C340</f>
        <v>20781</v>
      </c>
      <c r="D10" s="760">
        <f>Aprekini!D340</f>
        <v>35055.5</v>
      </c>
      <c r="E10" s="760">
        <f>Aprekini!E340</f>
        <v>37231.5</v>
      </c>
      <c r="F10" s="760">
        <f>Aprekini!F340</f>
        <v>37231.5</v>
      </c>
      <c r="G10" s="761">
        <f>Aprekini!G340</f>
        <v>37231.5</v>
      </c>
      <c r="H10" s="761">
        <f>Aprekini!H340</f>
        <v>37231.5</v>
      </c>
      <c r="I10" s="761">
        <f>Aprekini!I340</f>
        <v>37231.5</v>
      </c>
      <c r="J10" s="761">
        <f>Aprekini!J340</f>
        <v>37231.5</v>
      </c>
      <c r="K10" s="761">
        <f>Aprekini!K340</f>
        <v>37231.5</v>
      </c>
      <c r="L10" s="761">
        <f>Aprekini!L340</f>
        <v>37231.5</v>
      </c>
      <c r="M10" s="761">
        <f>Aprekini!M340</f>
        <v>37231.5</v>
      </c>
      <c r="N10" s="761">
        <f>Aprekini!N340</f>
        <v>21243</v>
      </c>
      <c r="O10" s="761">
        <f>Aprekini!O340</f>
        <v>21243</v>
      </c>
      <c r="P10" s="761">
        <f>Aprekini!P340</f>
        <v>21243</v>
      </c>
      <c r="Q10" s="761">
        <f>Aprekini!Q340</f>
        <v>21243</v>
      </c>
      <c r="R10" s="761">
        <f>Aprekini!R340</f>
        <v>21243</v>
      </c>
      <c r="S10" s="761">
        <f>Aprekini!S340</f>
        <v>21243</v>
      </c>
      <c r="T10" s="761">
        <f>Aprekini!T340</f>
        <v>21243</v>
      </c>
      <c r="U10" s="761">
        <f>Aprekini!U340</f>
        <v>21243</v>
      </c>
      <c r="V10" s="761">
        <f>Aprekini!V340</f>
        <v>21243</v>
      </c>
      <c r="W10" s="761">
        <f>Aprekini!W340</f>
        <v>21243</v>
      </c>
      <c r="X10" s="761">
        <f>Aprekini!X340</f>
        <v>21243</v>
      </c>
      <c r="Y10" s="761">
        <f>Aprekini!Y340</f>
        <v>21243</v>
      </c>
      <c r="Z10" s="761">
        <f>Aprekini!Z340</f>
        <v>21243</v>
      </c>
      <c r="AA10" s="761">
        <f>Aprekini!AA340</f>
        <v>21243</v>
      </c>
      <c r="AB10" s="761">
        <f>Aprekini!AB340</f>
        <v>21243</v>
      </c>
      <c r="AC10" s="761">
        <f>Aprekini!AC340</f>
        <v>21243</v>
      </c>
      <c r="AD10" s="761">
        <f>Aprekini!AD340</f>
        <v>21243</v>
      </c>
      <c r="AE10" s="761">
        <f>Aprekini!AE340</f>
        <v>21243</v>
      </c>
      <c r="AF10" s="761">
        <f>Aprekini!AF340</f>
        <v>21243</v>
      </c>
      <c r="AG10" s="761">
        <f>Aprekini!AG340</f>
        <v>21243</v>
      </c>
      <c r="AH10" s="761">
        <f>Aprekini!AH340</f>
        <v>21243</v>
      </c>
      <c r="AI10" s="761">
        <f>Aprekini!AI340</f>
        <v>21243</v>
      </c>
    </row>
    <row r="11" spans="1:35" s="6" customFormat="1" ht="12.75" x14ac:dyDescent="0.2">
      <c r="A11" s="58" t="s">
        <v>624</v>
      </c>
      <c r="B11" s="760">
        <v>0</v>
      </c>
      <c r="C11" s="760">
        <f>'Datu ievade'!B167</f>
        <v>0</v>
      </c>
      <c r="D11" s="760">
        <f>'Datu ievade'!C167</f>
        <v>0</v>
      </c>
      <c r="E11" s="760">
        <f>'Datu ievade'!D167</f>
        <v>0</v>
      </c>
      <c r="F11" s="760">
        <f>'Datu ievade'!E167</f>
        <v>0</v>
      </c>
      <c r="G11" s="760">
        <f>'Datu ievade'!F167</f>
        <v>0</v>
      </c>
      <c r="H11" s="760">
        <f>'Datu ievade'!G167</f>
        <v>0</v>
      </c>
      <c r="I11" s="760">
        <f>'Datu ievade'!H167</f>
        <v>0</v>
      </c>
      <c r="J11" s="760">
        <f>'Datu ievade'!I167</f>
        <v>0</v>
      </c>
      <c r="K11" s="760">
        <f>'Datu ievade'!J167</f>
        <v>0</v>
      </c>
      <c r="L11" s="760">
        <f>'Datu ievade'!K167</f>
        <v>0</v>
      </c>
      <c r="M11" s="760">
        <f>'Datu ievade'!L167</f>
        <v>0</v>
      </c>
      <c r="N11" s="760">
        <f>'Datu ievade'!M167</f>
        <v>0</v>
      </c>
      <c r="O11" s="760">
        <f>'Datu ievade'!N167</f>
        <v>0</v>
      </c>
      <c r="P11" s="760">
        <f>'Datu ievade'!O167</f>
        <v>0</v>
      </c>
      <c r="Q11" s="760">
        <f>'Datu ievade'!P167</f>
        <v>0</v>
      </c>
      <c r="R11" s="760">
        <f>'Datu ievade'!Q167</f>
        <v>0</v>
      </c>
      <c r="S11" s="760">
        <f>'Datu ievade'!R167</f>
        <v>0</v>
      </c>
      <c r="T11" s="760">
        <f>'Datu ievade'!S167</f>
        <v>0</v>
      </c>
      <c r="U11" s="760">
        <f>'Datu ievade'!T167</f>
        <v>0</v>
      </c>
      <c r="V11" s="760">
        <f>'Datu ievade'!U167</f>
        <v>0</v>
      </c>
      <c r="W11" s="760">
        <f>'Datu ievade'!V167</f>
        <v>0</v>
      </c>
      <c r="X11" s="760">
        <f>'Datu ievade'!W167</f>
        <v>0</v>
      </c>
      <c r="Y11" s="760">
        <f>'Datu ievade'!X167</f>
        <v>0</v>
      </c>
      <c r="Z11" s="760">
        <f>'Datu ievade'!Y167</f>
        <v>0</v>
      </c>
      <c r="AA11" s="760">
        <f>'Datu ievade'!Z167</f>
        <v>0</v>
      </c>
      <c r="AB11" s="760">
        <f>'Datu ievade'!AA167</f>
        <v>0</v>
      </c>
      <c r="AC11" s="760">
        <f>'Datu ievade'!AB167</f>
        <v>0</v>
      </c>
      <c r="AD11" s="760">
        <f>'Datu ievade'!AC167</f>
        <v>0</v>
      </c>
      <c r="AE11" s="760">
        <f>'Datu ievade'!AD167</f>
        <v>0</v>
      </c>
      <c r="AF11" s="760">
        <f>'Datu ievade'!AE167</f>
        <v>0</v>
      </c>
      <c r="AG11" s="760">
        <f>'Datu ievade'!AF167</f>
        <v>0</v>
      </c>
      <c r="AH11" s="760">
        <f>'Datu ievade'!AG167</f>
        <v>0</v>
      </c>
      <c r="AI11" s="760">
        <f>'Datu ievade'!AH167</f>
        <v>0</v>
      </c>
    </row>
    <row r="12" spans="1:35" s="4" customFormat="1" ht="12.75" x14ac:dyDescent="0.2">
      <c r="A12" s="59" t="s">
        <v>57</v>
      </c>
      <c r="B12" s="712">
        <f t="shared" ref="B12:AG12" si="1">SUM(B8:B11)</f>
        <v>169882.65619999994</v>
      </c>
      <c r="C12" s="712">
        <f t="shared" si="1"/>
        <v>98104.811000000016</v>
      </c>
      <c r="D12" s="712">
        <f t="shared" si="1"/>
        <v>36215.237899999898</v>
      </c>
      <c r="E12" s="712">
        <f>SUM(E8:E11)</f>
        <v>43243.070699999997</v>
      </c>
      <c r="F12" s="712">
        <f t="shared" si="1"/>
        <v>41653.199799999893</v>
      </c>
      <c r="G12" s="711">
        <f t="shared" si="1"/>
        <v>42780.193999999916</v>
      </c>
      <c r="H12" s="711">
        <f t="shared" si="1"/>
        <v>44237.902199999939</v>
      </c>
      <c r="I12" s="711">
        <f t="shared" si="1"/>
        <v>42317.317299999952</v>
      </c>
      <c r="J12" s="711">
        <f t="shared" si="1"/>
        <v>43775.025499999989</v>
      </c>
      <c r="K12" s="711">
        <f t="shared" si="1"/>
        <v>44902.019700000004</v>
      </c>
      <c r="L12" s="711">
        <f t="shared" si="1"/>
        <v>45532.075900000054</v>
      </c>
      <c r="M12" s="711">
        <f t="shared" si="1"/>
        <v>43114.552999999985</v>
      </c>
      <c r="N12" s="711">
        <f t="shared" si="1"/>
        <v>34413.464100000012</v>
      </c>
      <c r="O12" s="711">
        <f t="shared" si="1"/>
        <v>31633.520299999953</v>
      </c>
      <c r="P12" s="711">
        <f t="shared" si="1"/>
        <v>30307.146499999872</v>
      </c>
      <c r="Q12" s="711">
        <f t="shared" si="1"/>
        <v>32028.351799999902</v>
      </c>
      <c r="R12" s="711">
        <f t="shared" si="1"/>
        <v>30701.978000000039</v>
      </c>
      <c r="S12" s="711">
        <f t="shared" si="1"/>
        <v>32423.18330000007</v>
      </c>
      <c r="T12" s="711">
        <f t="shared" si="1"/>
        <v>31096.809499999988</v>
      </c>
      <c r="U12" s="711">
        <f t="shared" si="1"/>
        <v>32818.014799999903</v>
      </c>
      <c r="V12" s="711">
        <f t="shared" si="1"/>
        <v>31822.354999999923</v>
      </c>
      <c r="W12" s="711">
        <f t="shared" si="1"/>
        <v>33543.560299999954</v>
      </c>
      <c r="X12" s="711">
        <f t="shared" si="1"/>
        <v>32217.186499999872</v>
      </c>
      <c r="Y12" s="711">
        <f t="shared" si="1"/>
        <v>33938.391799999903</v>
      </c>
      <c r="Z12" s="711">
        <f t="shared" si="1"/>
        <v>32612.017999999931</v>
      </c>
      <c r="AA12" s="711">
        <f t="shared" si="1"/>
        <v>34333.223299999961</v>
      </c>
      <c r="AB12" s="711">
        <f t="shared" si="1"/>
        <v>35226.776600000027</v>
      </c>
      <c r="AC12" s="711">
        <f t="shared" si="1"/>
        <v>33403.464799999965</v>
      </c>
      <c r="AD12" s="711">
        <f t="shared" si="1"/>
        <v>34297.018099999921</v>
      </c>
      <c r="AE12" s="711">
        <f t="shared" si="1"/>
        <v>35190.571399999862</v>
      </c>
      <c r="AF12" s="711">
        <f t="shared" si="1"/>
        <v>34658.408700000124</v>
      </c>
      <c r="AG12" s="711">
        <f t="shared" si="1"/>
        <v>33795.532000000057</v>
      </c>
      <c r="AH12" s="711">
        <f>SUM(AH8:AH11)</f>
        <v>36310.948399999987</v>
      </c>
      <c r="AI12" s="711">
        <f>SUM(AI8:AI11)</f>
        <v>35448.071699999913</v>
      </c>
    </row>
    <row r="13" spans="1:35" s="4" customFormat="1" ht="12.75" x14ac:dyDescent="0.2">
      <c r="A13" s="59" t="s">
        <v>58</v>
      </c>
      <c r="B13" s="710"/>
      <c r="C13" s="710"/>
      <c r="D13" s="710"/>
      <c r="E13" s="710"/>
      <c r="F13" s="710"/>
      <c r="G13" s="730"/>
      <c r="H13" s="730"/>
      <c r="I13" s="730"/>
      <c r="J13" s="730"/>
      <c r="K13" s="730"/>
      <c r="L13" s="730"/>
      <c r="M13" s="730"/>
      <c r="N13" s="730"/>
      <c r="O13" s="730"/>
      <c r="P13" s="730"/>
      <c r="Q13" s="730"/>
      <c r="R13" s="730"/>
      <c r="S13" s="730"/>
      <c r="T13" s="730"/>
      <c r="U13" s="730"/>
      <c r="V13" s="730"/>
      <c r="W13" s="730"/>
      <c r="X13" s="730"/>
      <c r="Y13" s="730"/>
      <c r="Z13" s="730"/>
      <c r="AA13" s="730"/>
      <c r="AB13" s="730"/>
      <c r="AC13" s="730"/>
      <c r="AD13" s="730"/>
      <c r="AE13" s="730"/>
      <c r="AF13" s="730"/>
      <c r="AG13" s="730"/>
      <c r="AH13" s="730"/>
      <c r="AI13" s="730"/>
    </row>
    <row r="14" spans="1:35" s="4" customFormat="1" ht="12.75" x14ac:dyDescent="0.2">
      <c r="A14" s="57" t="s">
        <v>59</v>
      </c>
      <c r="B14" s="710">
        <f>-Aprekini!B199</f>
        <v>0</v>
      </c>
      <c r="C14" s="710">
        <f>-Aprekini!C199</f>
        <v>-246585</v>
      </c>
      <c r="D14" s="710">
        <f>-Aprekini!D199</f>
        <v>-36400</v>
      </c>
      <c r="E14" s="710">
        <f>-Aprekini!E199</f>
        <v>0</v>
      </c>
      <c r="F14" s="710">
        <f>-Aprekini!F199</f>
        <v>0</v>
      </c>
      <c r="G14" s="730">
        <f>-Aprekini!G199</f>
        <v>0</v>
      </c>
      <c r="H14" s="730">
        <f>-Aprekini!H199</f>
        <v>0</v>
      </c>
      <c r="I14" s="730">
        <f>-Aprekini!I199</f>
        <v>0</v>
      </c>
      <c r="J14" s="730">
        <f>-Aprekini!J199</f>
        <v>0</v>
      </c>
      <c r="K14" s="730">
        <f>-Aprekini!K199</f>
        <v>0</v>
      </c>
      <c r="L14" s="730">
        <f>-Aprekini!L199</f>
        <v>0</v>
      </c>
      <c r="M14" s="730">
        <f>-Aprekini!M199</f>
        <v>0</v>
      </c>
      <c r="N14" s="730">
        <f>-Aprekini!N199</f>
        <v>0</v>
      </c>
      <c r="O14" s="730">
        <f>-Aprekini!O199</f>
        <v>0</v>
      </c>
      <c r="P14" s="730">
        <f>-Aprekini!P199</f>
        <v>0</v>
      </c>
      <c r="Q14" s="730">
        <f>-Aprekini!Q199</f>
        <v>0</v>
      </c>
      <c r="R14" s="730">
        <f>-Aprekini!R199</f>
        <v>0</v>
      </c>
      <c r="S14" s="730">
        <f>-Aprekini!S199</f>
        <v>0</v>
      </c>
      <c r="T14" s="730">
        <f>-Aprekini!T199</f>
        <v>0</v>
      </c>
      <c r="U14" s="730">
        <f>-Aprekini!U199</f>
        <v>0</v>
      </c>
      <c r="V14" s="730">
        <f>-Aprekini!V199</f>
        <v>0</v>
      </c>
      <c r="W14" s="730">
        <f>-Aprekini!W199</f>
        <v>0</v>
      </c>
      <c r="X14" s="730">
        <f>-Aprekini!X199</f>
        <v>0</v>
      </c>
      <c r="Y14" s="730">
        <f>-Aprekini!Y199</f>
        <v>0</v>
      </c>
      <c r="Z14" s="730">
        <f>-Aprekini!Z199</f>
        <v>0</v>
      </c>
      <c r="AA14" s="730">
        <f>-Aprekini!AA199</f>
        <v>0</v>
      </c>
      <c r="AB14" s="730">
        <f>-Aprekini!AB199</f>
        <v>0</v>
      </c>
      <c r="AC14" s="730">
        <f>-Aprekini!AC199</f>
        <v>0</v>
      </c>
      <c r="AD14" s="730">
        <f>-Aprekini!AD199</f>
        <v>0</v>
      </c>
      <c r="AE14" s="730">
        <f>-Aprekini!AE199</f>
        <v>0</v>
      </c>
      <c r="AF14" s="730">
        <f>-Aprekini!AF199</f>
        <v>0</v>
      </c>
      <c r="AG14" s="730">
        <f>-Aprekini!AG199</f>
        <v>0</v>
      </c>
      <c r="AH14" s="730">
        <f>-Aprekini!AH199</f>
        <v>0</v>
      </c>
      <c r="AI14" s="730">
        <f>-Aprekini!AI199</f>
        <v>0</v>
      </c>
    </row>
    <row r="15" spans="1:35" s="4" customFormat="1" ht="12.75" x14ac:dyDescent="0.2">
      <c r="A15" s="59" t="s">
        <v>60</v>
      </c>
      <c r="B15" s="712">
        <f t="shared" ref="B15:AG15" si="2">SUM(B14:B14)</f>
        <v>0</v>
      </c>
      <c r="C15" s="712">
        <f t="shared" si="2"/>
        <v>-246585</v>
      </c>
      <c r="D15" s="712">
        <f t="shared" si="2"/>
        <v>-36400</v>
      </c>
      <c r="E15" s="712">
        <f t="shared" si="2"/>
        <v>0</v>
      </c>
      <c r="F15" s="712">
        <f t="shared" si="2"/>
        <v>0</v>
      </c>
      <c r="G15" s="711">
        <f t="shared" si="2"/>
        <v>0</v>
      </c>
      <c r="H15" s="711">
        <f t="shared" si="2"/>
        <v>0</v>
      </c>
      <c r="I15" s="711">
        <f t="shared" si="2"/>
        <v>0</v>
      </c>
      <c r="J15" s="711">
        <f t="shared" si="2"/>
        <v>0</v>
      </c>
      <c r="K15" s="711">
        <f t="shared" si="2"/>
        <v>0</v>
      </c>
      <c r="L15" s="711">
        <f t="shared" si="2"/>
        <v>0</v>
      </c>
      <c r="M15" s="711">
        <f t="shared" si="2"/>
        <v>0</v>
      </c>
      <c r="N15" s="711">
        <f t="shared" si="2"/>
        <v>0</v>
      </c>
      <c r="O15" s="711">
        <f t="shared" si="2"/>
        <v>0</v>
      </c>
      <c r="P15" s="711">
        <f t="shared" si="2"/>
        <v>0</v>
      </c>
      <c r="Q15" s="711">
        <f t="shared" si="2"/>
        <v>0</v>
      </c>
      <c r="R15" s="711">
        <f t="shared" si="2"/>
        <v>0</v>
      </c>
      <c r="S15" s="711">
        <f t="shared" si="2"/>
        <v>0</v>
      </c>
      <c r="T15" s="711">
        <f t="shared" si="2"/>
        <v>0</v>
      </c>
      <c r="U15" s="711">
        <f t="shared" si="2"/>
        <v>0</v>
      </c>
      <c r="V15" s="711">
        <f t="shared" si="2"/>
        <v>0</v>
      </c>
      <c r="W15" s="711">
        <f t="shared" si="2"/>
        <v>0</v>
      </c>
      <c r="X15" s="711">
        <f t="shared" si="2"/>
        <v>0</v>
      </c>
      <c r="Y15" s="711">
        <f t="shared" si="2"/>
        <v>0</v>
      </c>
      <c r="Z15" s="711">
        <f t="shared" si="2"/>
        <v>0</v>
      </c>
      <c r="AA15" s="711">
        <f t="shared" si="2"/>
        <v>0</v>
      </c>
      <c r="AB15" s="711">
        <f t="shared" si="2"/>
        <v>0</v>
      </c>
      <c r="AC15" s="711">
        <f t="shared" si="2"/>
        <v>0</v>
      </c>
      <c r="AD15" s="711">
        <f t="shared" si="2"/>
        <v>0</v>
      </c>
      <c r="AE15" s="711">
        <f t="shared" si="2"/>
        <v>0</v>
      </c>
      <c r="AF15" s="711">
        <f t="shared" si="2"/>
        <v>0</v>
      </c>
      <c r="AG15" s="711">
        <f t="shared" si="2"/>
        <v>0</v>
      </c>
      <c r="AH15" s="711">
        <f>SUM(AH14:AH14)</f>
        <v>0</v>
      </c>
      <c r="AI15" s="711">
        <f>SUM(AI14:AI14)</f>
        <v>0</v>
      </c>
    </row>
    <row r="16" spans="1:35" s="4" customFormat="1" ht="12.75" x14ac:dyDescent="0.2">
      <c r="A16" s="59" t="s">
        <v>61</v>
      </c>
      <c r="B16" s="712"/>
      <c r="C16" s="712"/>
      <c r="D16" s="712"/>
      <c r="E16" s="712"/>
      <c r="F16" s="712"/>
      <c r="G16" s="711"/>
      <c r="H16" s="711"/>
      <c r="I16" s="711"/>
      <c r="J16" s="711"/>
      <c r="K16" s="711"/>
      <c r="L16" s="711"/>
      <c r="M16" s="711"/>
      <c r="N16" s="711"/>
      <c r="O16" s="711"/>
      <c r="P16" s="711"/>
      <c r="Q16" s="711"/>
      <c r="R16" s="711"/>
      <c r="S16" s="711"/>
      <c r="T16" s="711"/>
      <c r="U16" s="711"/>
      <c r="V16" s="711"/>
      <c r="W16" s="711"/>
      <c r="X16" s="711"/>
      <c r="Y16" s="711"/>
      <c r="Z16" s="711"/>
      <c r="AA16" s="711"/>
      <c r="AB16" s="711"/>
      <c r="AC16" s="711"/>
      <c r="AD16" s="711"/>
      <c r="AE16" s="711"/>
      <c r="AF16" s="711"/>
      <c r="AG16" s="711"/>
      <c r="AH16" s="711"/>
      <c r="AI16" s="711"/>
    </row>
    <row r="17" spans="1:35" s="7" customFormat="1" ht="12.75" x14ac:dyDescent="0.2">
      <c r="A17" s="57" t="s">
        <v>62</v>
      </c>
      <c r="B17" s="710">
        <f t="shared" ref="B17:AH17" si="3">SUM(B18:B20)</f>
        <v>0</v>
      </c>
      <c r="C17" s="710">
        <f t="shared" si="3"/>
        <v>69553.146632000004</v>
      </c>
      <c r="D17" s="710">
        <f t="shared" si="3"/>
        <v>17444.473956000002</v>
      </c>
      <c r="E17" s="710">
        <f t="shared" si="3"/>
        <v>0</v>
      </c>
      <c r="F17" s="710">
        <f t="shared" si="3"/>
        <v>0</v>
      </c>
      <c r="G17" s="731">
        <f t="shared" si="3"/>
        <v>0</v>
      </c>
      <c r="H17" s="731">
        <f t="shared" si="3"/>
        <v>0</v>
      </c>
      <c r="I17" s="731">
        <f t="shared" si="3"/>
        <v>0</v>
      </c>
      <c r="J17" s="731">
        <f t="shared" si="3"/>
        <v>0</v>
      </c>
      <c r="K17" s="731">
        <f t="shared" si="3"/>
        <v>0</v>
      </c>
      <c r="L17" s="731">
        <f t="shared" si="3"/>
        <v>0</v>
      </c>
      <c r="M17" s="731">
        <f t="shared" si="3"/>
        <v>0</v>
      </c>
      <c r="N17" s="731">
        <f t="shared" si="3"/>
        <v>0</v>
      </c>
      <c r="O17" s="731">
        <f t="shared" si="3"/>
        <v>0</v>
      </c>
      <c r="P17" s="731">
        <f t="shared" si="3"/>
        <v>0</v>
      </c>
      <c r="Q17" s="731">
        <f t="shared" si="3"/>
        <v>0</v>
      </c>
      <c r="R17" s="731">
        <f t="shared" si="3"/>
        <v>0</v>
      </c>
      <c r="S17" s="731">
        <f t="shared" si="3"/>
        <v>0</v>
      </c>
      <c r="T17" s="731">
        <f t="shared" si="3"/>
        <v>0</v>
      </c>
      <c r="U17" s="731">
        <f t="shared" si="3"/>
        <v>0</v>
      </c>
      <c r="V17" s="731">
        <f t="shared" si="3"/>
        <v>0</v>
      </c>
      <c r="W17" s="731">
        <f t="shared" si="3"/>
        <v>0</v>
      </c>
      <c r="X17" s="731">
        <f t="shared" si="3"/>
        <v>0</v>
      </c>
      <c r="Y17" s="731">
        <f t="shared" si="3"/>
        <v>0</v>
      </c>
      <c r="Z17" s="731">
        <f t="shared" si="3"/>
        <v>0</v>
      </c>
      <c r="AA17" s="731">
        <f t="shared" si="3"/>
        <v>0</v>
      </c>
      <c r="AB17" s="731">
        <f t="shared" si="3"/>
        <v>0</v>
      </c>
      <c r="AC17" s="731">
        <f t="shared" si="3"/>
        <v>0</v>
      </c>
      <c r="AD17" s="731">
        <f t="shared" si="3"/>
        <v>0</v>
      </c>
      <c r="AE17" s="731">
        <f t="shared" si="3"/>
        <v>0</v>
      </c>
      <c r="AF17" s="731">
        <f t="shared" si="3"/>
        <v>0</v>
      </c>
      <c r="AG17" s="731">
        <f t="shared" si="3"/>
        <v>0</v>
      </c>
      <c r="AH17" s="731">
        <f t="shared" si="3"/>
        <v>0</v>
      </c>
      <c r="AI17" s="731">
        <f>SUM(AI18:AI20)</f>
        <v>0</v>
      </c>
    </row>
    <row r="18" spans="1:35" s="7" customFormat="1" ht="12.75" x14ac:dyDescent="0.2">
      <c r="A18" s="60" t="str">
        <f>Aprekini!A206</f>
        <v>3.4. Valsts budžeta dotācija</v>
      </c>
      <c r="B18" s="710">
        <f>Aprekini!B206</f>
        <v>0</v>
      </c>
      <c r="C18" s="710">
        <f>Aprekini!C206</f>
        <v>0</v>
      </c>
      <c r="D18" s="710">
        <f>Aprekini!D206</f>
        <v>0</v>
      </c>
      <c r="E18" s="710">
        <f>Aprekini!E206</f>
        <v>0</v>
      </c>
      <c r="F18" s="710">
        <f>Aprekini!F206</f>
        <v>0</v>
      </c>
      <c r="G18" s="731">
        <f>Aprekini!G206</f>
        <v>0</v>
      </c>
      <c r="H18" s="731">
        <f>Aprekini!H206</f>
        <v>0</v>
      </c>
      <c r="I18" s="731">
        <f>Aprekini!I206</f>
        <v>0</v>
      </c>
      <c r="J18" s="731">
        <f>Aprekini!J206</f>
        <v>0</v>
      </c>
      <c r="K18" s="731">
        <f>Aprekini!K206</f>
        <v>0</v>
      </c>
      <c r="L18" s="731">
        <f>Aprekini!L206</f>
        <v>0</v>
      </c>
      <c r="M18" s="731">
        <f>Aprekini!M206</f>
        <v>0</v>
      </c>
      <c r="N18" s="731">
        <f>Aprekini!N206</f>
        <v>0</v>
      </c>
      <c r="O18" s="731">
        <f>Aprekini!O206</f>
        <v>0</v>
      </c>
      <c r="P18" s="731">
        <f>Aprekini!P206</f>
        <v>0</v>
      </c>
      <c r="Q18" s="731">
        <f>Aprekini!Q206</f>
        <v>0</v>
      </c>
      <c r="R18" s="731">
        <f>Aprekini!R206</f>
        <v>0</v>
      </c>
      <c r="S18" s="731">
        <f>Aprekini!S206</f>
        <v>0</v>
      </c>
      <c r="T18" s="731">
        <f>Aprekini!T206</f>
        <v>0</v>
      </c>
      <c r="U18" s="731">
        <f>Aprekini!U206</f>
        <v>0</v>
      </c>
      <c r="V18" s="731">
        <f>Aprekini!V206</f>
        <v>0</v>
      </c>
      <c r="W18" s="731">
        <f>Aprekini!W206</f>
        <v>0</v>
      </c>
      <c r="X18" s="731">
        <f>Aprekini!X206</f>
        <v>0</v>
      </c>
      <c r="Y18" s="731">
        <f>Aprekini!Y206</f>
        <v>0</v>
      </c>
      <c r="Z18" s="731">
        <f>Aprekini!Z206</f>
        <v>0</v>
      </c>
      <c r="AA18" s="731">
        <f>Aprekini!AA206</f>
        <v>0</v>
      </c>
      <c r="AB18" s="731">
        <f>Aprekini!AB206</f>
        <v>0</v>
      </c>
      <c r="AC18" s="731">
        <f>Aprekini!AC206</f>
        <v>0</v>
      </c>
      <c r="AD18" s="731">
        <f>Aprekini!AD206</f>
        <v>0</v>
      </c>
      <c r="AE18" s="731">
        <f>Aprekini!AE206</f>
        <v>0</v>
      </c>
      <c r="AF18" s="731">
        <f>Aprekini!AF206</f>
        <v>0</v>
      </c>
      <c r="AG18" s="731">
        <f>Aprekini!AG206</f>
        <v>0</v>
      </c>
      <c r="AH18" s="731">
        <f>Aprekini!AH206</f>
        <v>0</v>
      </c>
      <c r="AI18" s="731">
        <f>Aprekini!AI206</f>
        <v>0</v>
      </c>
    </row>
    <row r="19" spans="1:35" s="7" customFormat="1" ht="12.75" x14ac:dyDescent="0.2">
      <c r="A19" s="60" t="str">
        <f>Aprekini!A209</f>
        <v>3.7. KF līdzfinansējums</v>
      </c>
      <c r="B19" s="710">
        <f>Aprekini!B209</f>
        <v>0</v>
      </c>
      <c r="C19" s="710">
        <f>Aprekini!C209</f>
        <v>19553.146632</v>
      </c>
      <c r="D19" s="710">
        <f>Aprekini!D209</f>
        <v>17444.473956000002</v>
      </c>
      <c r="E19" s="710">
        <f>Aprekini!E209</f>
        <v>0</v>
      </c>
      <c r="F19" s="710">
        <f>Aprekini!F209</f>
        <v>0</v>
      </c>
      <c r="G19" s="731">
        <f>Aprekini!G209</f>
        <v>0</v>
      </c>
      <c r="H19" s="731">
        <f>Aprekini!H209</f>
        <v>0</v>
      </c>
      <c r="I19" s="731">
        <f>Aprekini!I209</f>
        <v>0</v>
      </c>
      <c r="J19" s="731">
        <f>Aprekini!J209</f>
        <v>0</v>
      </c>
      <c r="K19" s="731">
        <f>Aprekini!K209</f>
        <v>0</v>
      </c>
      <c r="L19" s="731">
        <f>Aprekini!L209</f>
        <v>0</v>
      </c>
      <c r="M19" s="731">
        <f>Aprekini!M209</f>
        <v>0</v>
      </c>
      <c r="N19" s="731">
        <f>Aprekini!N209</f>
        <v>0</v>
      </c>
      <c r="O19" s="731">
        <f>Aprekini!O209</f>
        <v>0</v>
      </c>
      <c r="P19" s="731">
        <f>Aprekini!P209</f>
        <v>0</v>
      </c>
      <c r="Q19" s="731">
        <f>Aprekini!Q209</f>
        <v>0</v>
      </c>
      <c r="R19" s="731">
        <f>Aprekini!R209</f>
        <v>0</v>
      </c>
      <c r="S19" s="731">
        <f>Aprekini!S209</f>
        <v>0</v>
      </c>
      <c r="T19" s="731">
        <f>Aprekini!T209</f>
        <v>0</v>
      </c>
      <c r="U19" s="731">
        <f>Aprekini!U209</f>
        <v>0</v>
      </c>
      <c r="V19" s="731">
        <f>Aprekini!V209</f>
        <v>0</v>
      </c>
      <c r="W19" s="731">
        <f>Aprekini!W209</f>
        <v>0</v>
      </c>
      <c r="X19" s="731">
        <f>Aprekini!X209</f>
        <v>0</v>
      </c>
      <c r="Y19" s="731">
        <f>Aprekini!Y209</f>
        <v>0</v>
      </c>
      <c r="Z19" s="731">
        <f>Aprekini!Z209</f>
        <v>0</v>
      </c>
      <c r="AA19" s="731">
        <f>Aprekini!AA209</f>
        <v>0</v>
      </c>
      <c r="AB19" s="731">
        <f>Aprekini!AB209</f>
        <v>0</v>
      </c>
      <c r="AC19" s="731">
        <f>Aprekini!AC209</f>
        <v>0</v>
      </c>
      <c r="AD19" s="731">
        <f>Aprekini!AD209</f>
        <v>0</v>
      </c>
      <c r="AE19" s="731">
        <f>Aprekini!AE209</f>
        <v>0</v>
      </c>
      <c r="AF19" s="731">
        <f>Aprekini!AF209</f>
        <v>0</v>
      </c>
      <c r="AG19" s="731">
        <f>Aprekini!AG209</f>
        <v>0</v>
      </c>
      <c r="AH19" s="731">
        <f>Aprekini!AH209</f>
        <v>0</v>
      </c>
      <c r="AI19" s="731">
        <f>Aprekini!AI209</f>
        <v>0</v>
      </c>
    </row>
    <row r="20" spans="1:35" s="7" customFormat="1" ht="12.75" x14ac:dyDescent="0.2">
      <c r="A20" s="60" t="str">
        <f>Aprekini!A205</f>
        <v>6.3. Aizņēmumi</v>
      </c>
      <c r="B20" s="710">
        <f>Aprekini!B205</f>
        <v>0</v>
      </c>
      <c r="C20" s="710">
        <f>Aprekini!C205</f>
        <v>50000</v>
      </c>
      <c r="D20" s="710">
        <f>Aprekini!D205</f>
        <v>0</v>
      </c>
      <c r="E20" s="710">
        <f>Aprekini!E205</f>
        <v>0</v>
      </c>
      <c r="F20" s="710">
        <f>Aprekini!F205</f>
        <v>0</v>
      </c>
      <c r="G20" s="710">
        <f>Aprekini!G205</f>
        <v>0</v>
      </c>
      <c r="H20" s="710">
        <f>Aprekini!H205</f>
        <v>0</v>
      </c>
      <c r="I20" s="710">
        <f>Aprekini!I205</f>
        <v>0</v>
      </c>
      <c r="J20" s="710">
        <f>Aprekini!J205</f>
        <v>0</v>
      </c>
      <c r="K20" s="710">
        <f>Aprekini!K205</f>
        <v>0</v>
      </c>
      <c r="L20" s="710">
        <f>Aprekini!L205</f>
        <v>0</v>
      </c>
      <c r="M20" s="710">
        <f>Aprekini!M205</f>
        <v>0</v>
      </c>
      <c r="N20" s="710">
        <f>Aprekini!N205</f>
        <v>0</v>
      </c>
      <c r="O20" s="710">
        <f>Aprekini!O205</f>
        <v>0</v>
      </c>
      <c r="P20" s="710">
        <f>Aprekini!P205</f>
        <v>0</v>
      </c>
      <c r="Q20" s="710">
        <f>Aprekini!Q205</f>
        <v>0</v>
      </c>
      <c r="R20" s="710">
        <f>Aprekini!R205</f>
        <v>0</v>
      </c>
      <c r="S20" s="710">
        <f>Aprekini!S205</f>
        <v>0</v>
      </c>
      <c r="T20" s="710">
        <f>Aprekini!T205</f>
        <v>0</v>
      </c>
      <c r="U20" s="710">
        <f>Aprekini!U205</f>
        <v>0</v>
      </c>
      <c r="V20" s="710">
        <f>Aprekini!V205</f>
        <v>0</v>
      </c>
      <c r="W20" s="710">
        <f>Aprekini!W205</f>
        <v>0</v>
      </c>
      <c r="X20" s="710">
        <f>Aprekini!X205</f>
        <v>0</v>
      </c>
      <c r="Y20" s="710">
        <f>Aprekini!Y205</f>
        <v>0</v>
      </c>
      <c r="Z20" s="710">
        <f>Aprekini!Z205</f>
        <v>0</v>
      </c>
      <c r="AA20" s="710">
        <f>Aprekini!AA205</f>
        <v>0</v>
      </c>
      <c r="AB20" s="710">
        <f>Aprekini!AB205</f>
        <v>0</v>
      </c>
      <c r="AC20" s="710">
        <f>Aprekini!AC205</f>
        <v>0</v>
      </c>
      <c r="AD20" s="710">
        <f>Aprekini!AD205</f>
        <v>0</v>
      </c>
      <c r="AE20" s="710">
        <f>Aprekini!AE205</f>
        <v>0</v>
      </c>
      <c r="AF20" s="710">
        <f>Aprekini!AF205</f>
        <v>0</v>
      </c>
      <c r="AG20" s="710">
        <f>Aprekini!AG205</f>
        <v>0</v>
      </c>
      <c r="AH20" s="710">
        <f>Aprekini!AH205</f>
        <v>0</v>
      </c>
      <c r="AI20" s="710">
        <f>Aprekini!AI205</f>
        <v>0</v>
      </c>
    </row>
    <row r="21" spans="1:35" s="7" customFormat="1" ht="12.75" x14ac:dyDescent="0.2">
      <c r="A21" s="58" t="s">
        <v>407</v>
      </c>
      <c r="B21" s="710">
        <f>-(Aprekini!B308)</f>
        <v>0</v>
      </c>
      <c r="C21" s="710">
        <f>-(Aprekini!C308)</f>
        <v>0</v>
      </c>
      <c r="D21" s="710">
        <f>-(Aprekini!D308)</f>
        <v>0</v>
      </c>
      <c r="E21" s="710">
        <f>-(Aprekini!E308)</f>
        <v>-5000</v>
      </c>
      <c r="F21" s="710">
        <f>-(Aprekini!F308)</f>
        <v>-5000</v>
      </c>
      <c r="G21" s="731">
        <f>-(Aprekini!G308)</f>
        <v>-5000</v>
      </c>
      <c r="H21" s="731">
        <f>-(Aprekini!H308)</f>
        <v>-5000</v>
      </c>
      <c r="I21" s="731">
        <f>-(Aprekini!I308)</f>
        <v>-5000</v>
      </c>
      <c r="J21" s="731">
        <f>-(Aprekini!J308)</f>
        <v>-5000</v>
      </c>
      <c r="K21" s="731">
        <f>-(Aprekini!K308)</f>
        <v>-5000</v>
      </c>
      <c r="L21" s="731">
        <f>-(Aprekini!L308)</f>
        <v>-5000</v>
      </c>
      <c r="M21" s="731">
        <f>-(Aprekini!M308)</f>
        <v>-5000</v>
      </c>
      <c r="N21" s="731">
        <f>-(Aprekini!N308)</f>
        <v>-5000</v>
      </c>
      <c r="O21" s="731">
        <f>-(Aprekini!O308)</f>
        <v>0</v>
      </c>
      <c r="P21" s="731">
        <f>-(Aprekini!P308)</f>
        <v>0</v>
      </c>
      <c r="Q21" s="731">
        <f>-(Aprekini!Q308)</f>
        <v>0</v>
      </c>
      <c r="R21" s="731">
        <f>-(Aprekini!R308)</f>
        <v>0</v>
      </c>
      <c r="S21" s="731">
        <f>-(Aprekini!S308)</f>
        <v>0</v>
      </c>
      <c r="T21" s="731">
        <f>-(Aprekini!T308)</f>
        <v>0</v>
      </c>
      <c r="U21" s="731">
        <f>-(Aprekini!U308)</f>
        <v>0</v>
      </c>
      <c r="V21" s="731">
        <f>-(Aprekini!V308)</f>
        <v>0</v>
      </c>
      <c r="W21" s="731">
        <f>-(Aprekini!W308)</f>
        <v>0</v>
      </c>
      <c r="X21" s="731">
        <f>-(Aprekini!X308)</f>
        <v>0</v>
      </c>
      <c r="Y21" s="731">
        <f>-(Aprekini!Y308)</f>
        <v>0</v>
      </c>
      <c r="Z21" s="731">
        <f>-(Aprekini!Z308)</f>
        <v>0</v>
      </c>
      <c r="AA21" s="731">
        <f>-(Aprekini!AA308)</f>
        <v>0</v>
      </c>
      <c r="AB21" s="731">
        <f>-(Aprekini!AB308)</f>
        <v>0</v>
      </c>
      <c r="AC21" s="731">
        <f>-(Aprekini!AC308)</f>
        <v>0</v>
      </c>
      <c r="AD21" s="731">
        <f>-(Aprekini!AD308)</f>
        <v>0</v>
      </c>
      <c r="AE21" s="731">
        <f>-(Aprekini!AE308)</f>
        <v>0</v>
      </c>
      <c r="AF21" s="731">
        <f>-(Aprekini!AF308)</f>
        <v>0</v>
      </c>
      <c r="AG21" s="731">
        <f>-(Aprekini!AG308)</f>
        <v>0</v>
      </c>
      <c r="AH21" s="731">
        <f>-(Aprekini!AH308)</f>
        <v>0</v>
      </c>
      <c r="AI21" s="731">
        <f>-(Aprekini!AI308)</f>
        <v>0</v>
      </c>
    </row>
    <row r="22" spans="1:35" s="4" customFormat="1" ht="12.75" x14ac:dyDescent="0.2">
      <c r="A22" s="58" t="s">
        <v>63</v>
      </c>
      <c r="B22" s="712">
        <f t="shared" ref="B22:AH22" si="4">B17+B21</f>
        <v>0</v>
      </c>
      <c r="C22" s="712">
        <f t="shared" si="4"/>
        <v>69553.146632000004</v>
      </c>
      <c r="D22" s="712">
        <f t="shared" si="4"/>
        <v>17444.473956000002</v>
      </c>
      <c r="E22" s="712">
        <f t="shared" si="4"/>
        <v>-5000</v>
      </c>
      <c r="F22" s="712">
        <f t="shared" si="4"/>
        <v>-5000</v>
      </c>
      <c r="G22" s="711">
        <f t="shared" si="4"/>
        <v>-5000</v>
      </c>
      <c r="H22" s="711">
        <f t="shared" si="4"/>
        <v>-5000</v>
      </c>
      <c r="I22" s="711">
        <f t="shared" si="4"/>
        <v>-5000</v>
      </c>
      <c r="J22" s="711">
        <f t="shared" si="4"/>
        <v>-5000</v>
      </c>
      <c r="K22" s="711">
        <f t="shared" si="4"/>
        <v>-5000</v>
      </c>
      <c r="L22" s="711">
        <f t="shared" si="4"/>
        <v>-5000</v>
      </c>
      <c r="M22" s="711">
        <f t="shared" si="4"/>
        <v>-5000</v>
      </c>
      <c r="N22" s="711">
        <f t="shared" si="4"/>
        <v>-5000</v>
      </c>
      <c r="O22" s="711">
        <f t="shared" si="4"/>
        <v>0</v>
      </c>
      <c r="P22" s="711">
        <f t="shared" si="4"/>
        <v>0</v>
      </c>
      <c r="Q22" s="711">
        <f t="shared" si="4"/>
        <v>0</v>
      </c>
      <c r="R22" s="711">
        <f t="shared" si="4"/>
        <v>0</v>
      </c>
      <c r="S22" s="711">
        <f t="shared" si="4"/>
        <v>0</v>
      </c>
      <c r="T22" s="711">
        <f t="shared" si="4"/>
        <v>0</v>
      </c>
      <c r="U22" s="711">
        <f t="shared" si="4"/>
        <v>0</v>
      </c>
      <c r="V22" s="711">
        <f t="shared" si="4"/>
        <v>0</v>
      </c>
      <c r="W22" s="711">
        <f t="shared" si="4"/>
        <v>0</v>
      </c>
      <c r="X22" s="711">
        <f t="shared" si="4"/>
        <v>0</v>
      </c>
      <c r="Y22" s="711">
        <f t="shared" si="4"/>
        <v>0</v>
      </c>
      <c r="Z22" s="711">
        <f t="shared" si="4"/>
        <v>0</v>
      </c>
      <c r="AA22" s="711">
        <f t="shared" si="4"/>
        <v>0</v>
      </c>
      <c r="AB22" s="711">
        <f t="shared" si="4"/>
        <v>0</v>
      </c>
      <c r="AC22" s="711">
        <f t="shared" si="4"/>
        <v>0</v>
      </c>
      <c r="AD22" s="711">
        <f t="shared" si="4"/>
        <v>0</v>
      </c>
      <c r="AE22" s="711">
        <f t="shared" si="4"/>
        <v>0</v>
      </c>
      <c r="AF22" s="711">
        <f t="shared" si="4"/>
        <v>0</v>
      </c>
      <c r="AG22" s="711">
        <f t="shared" si="4"/>
        <v>0</v>
      </c>
      <c r="AH22" s="711">
        <f t="shared" si="4"/>
        <v>0</v>
      </c>
      <c r="AI22" s="711">
        <f>AI17+AI21</f>
        <v>0</v>
      </c>
    </row>
    <row r="23" spans="1:35" s="4" customFormat="1" ht="12.75" x14ac:dyDescent="0.2">
      <c r="A23" s="58" t="s">
        <v>249</v>
      </c>
      <c r="B23" s="712">
        <v>0</v>
      </c>
      <c r="C23" s="740">
        <f>'Datu ievade'!B163+'Datu ievade'!B160</f>
        <v>50000</v>
      </c>
      <c r="D23" s="740">
        <f>'Datu ievade'!C163+'Datu ievade'!C160</f>
        <v>0</v>
      </c>
      <c r="E23" s="740">
        <f>'Datu ievade'!D163+'Datu ievade'!D160</f>
        <v>0</v>
      </c>
      <c r="F23" s="740">
        <f>'Datu ievade'!E163+'Datu ievade'!E160</f>
        <v>0</v>
      </c>
      <c r="G23" s="740">
        <f>'Datu ievade'!F163+'Datu ievade'!F160</f>
        <v>0</v>
      </c>
      <c r="H23" s="740">
        <f>'Datu ievade'!G163+'Datu ievade'!G160</f>
        <v>0</v>
      </c>
      <c r="I23" s="740">
        <f>'Datu ievade'!H163+'Datu ievade'!H160</f>
        <v>0</v>
      </c>
      <c r="J23" s="740">
        <f>'Datu ievade'!I163+'Datu ievade'!I160</f>
        <v>0</v>
      </c>
      <c r="K23" s="740">
        <f>'Datu ievade'!J163+'Datu ievade'!J160</f>
        <v>0</v>
      </c>
      <c r="L23" s="740">
        <f>'Datu ievade'!K163+'Datu ievade'!K160</f>
        <v>0</v>
      </c>
      <c r="M23" s="740">
        <f>'Datu ievade'!L163+'Datu ievade'!L160</f>
        <v>0</v>
      </c>
      <c r="N23" s="740">
        <f>'Datu ievade'!M163+'Datu ievade'!M160</f>
        <v>0</v>
      </c>
      <c r="O23" s="740">
        <f>'Datu ievade'!N163+'Datu ievade'!N160</f>
        <v>0</v>
      </c>
      <c r="P23" s="740">
        <f>'Datu ievade'!O163+'Datu ievade'!O160</f>
        <v>0</v>
      </c>
      <c r="Q23" s="740">
        <f>'Datu ievade'!P163+'Datu ievade'!P160</f>
        <v>0</v>
      </c>
      <c r="R23" s="740">
        <f>'Datu ievade'!Q163+'Datu ievade'!Q160</f>
        <v>0</v>
      </c>
      <c r="S23" s="740">
        <f>'Datu ievade'!R163+'Datu ievade'!R160</f>
        <v>0</v>
      </c>
      <c r="T23" s="740">
        <f>'Datu ievade'!S163+'Datu ievade'!S160</f>
        <v>0</v>
      </c>
      <c r="U23" s="740">
        <f>'Datu ievade'!T163+'Datu ievade'!T160</f>
        <v>0</v>
      </c>
      <c r="V23" s="740">
        <f>'Datu ievade'!U163+'Datu ievade'!U160</f>
        <v>0</v>
      </c>
      <c r="W23" s="740">
        <f>'Datu ievade'!V163+'Datu ievade'!V160</f>
        <v>0</v>
      </c>
      <c r="X23" s="740">
        <f>'Datu ievade'!W163+'Datu ievade'!W160</f>
        <v>0</v>
      </c>
      <c r="Y23" s="740">
        <f>'Datu ievade'!X163+'Datu ievade'!X160</f>
        <v>0</v>
      </c>
      <c r="Z23" s="740">
        <f>'Datu ievade'!Y163+'Datu ievade'!Y160</f>
        <v>0</v>
      </c>
      <c r="AA23" s="740">
        <f>'Datu ievade'!Z163+'Datu ievade'!Z160</f>
        <v>0</v>
      </c>
      <c r="AB23" s="740">
        <f>'Datu ievade'!AA163+'Datu ievade'!AA160</f>
        <v>0</v>
      </c>
      <c r="AC23" s="740">
        <f>'Datu ievade'!AB163+'Datu ievade'!AB160</f>
        <v>0</v>
      </c>
      <c r="AD23" s="740">
        <f>'Datu ievade'!AC163+'Datu ievade'!AC160</f>
        <v>0</v>
      </c>
      <c r="AE23" s="740">
        <f>'Datu ievade'!AD163+'Datu ievade'!AD160</f>
        <v>0</v>
      </c>
      <c r="AF23" s="740">
        <f>'Datu ievade'!AE163+'Datu ievade'!AE160</f>
        <v>0</v>
      </c>
      <c r="AG23" s="740">
        <f>'Datu ievade'!AF163+'Datu ievade'!AF160</f>
        <v>0</v>
      </c>
      <c r="AH23" s="740">
        <f>'Datu ievade'!AG163+'Datu ievade'!AG160</f>
        <v>0</v>
      </c>
      <c r="AI23" s="740">
        <f>'Datu ievade'!AH163+'Datu ievade'!AH160</f>
        <v>0</v>
      </c>
    </row>
    <row r="24" spans="1:35" s="4" customFormat="1" ht="25.5" x14ac:dyDescent="0.2">
      <c r="A24" s="61" t="s">
        <v>64</v>
      </c>
      <c r="B24" s="712">
        <f t="shared" ref="B24:AH24" si="5">SUM(B12,B15,B22,B23)</f>
        <v>169882.65619999994</v>
      </c>
      <c r="C24" s="712">
        <f t="shared" si="5"/>
        <v>-28927.04236799998</v>
      </c>
      <c r="D24" s="712">
        <f t="shared" si="5"/>
        <v>17259.7118559999</v>
      </c>
      <c r="E24" s="712">
        <f t="shared" si="5"/>
        <v>38243.070699999997</v>
      </c>
      <c r="F24" s="712">
        <f t="shared" si="5"/>
        <v>36653.199799999893</v>
      </c>
      <c r="G24" s="711">
        <f t="shared" si="5"/>
        <v>37780.193999999916</v>
      </c>
      <c r="H24" s="711">
        <f t="shared" si="5"/>
        <v>39237.902199999939</v>
      </c>
      <c r="I24" s="711">
        <f t="shared" si="5"/>
        <v>37317.317299999952</v>
      </c>
      <c r="J24" s="711">
        <f t="shared" si="5"/>
        <v>38775.025499999989</v>
      </c>
      <c r="K24" s="711">
        <f t="shared" si="5"/>
        <v>39902.019700000004</v>
      </c>
      <c r="L24" s="711">
        <f t="shared" si="5"/>
        <v>40532.075900000054</v>
      </c>
      <c r="M24" s="711">
        <f t="shared" si="5"/>
        <v>38114.552999999985</v>
      </c>
      <c r="N24" s="711">
        <f t="shared" si="5"/>
        <v>29413.464100000012</v>
      </c>
      <c r="O24" s="711">
        <f t="shared" si="5"/>
        <v>31633.520299999953</v>
      </c>
      <c r="P24" s="711">
        <f t="shared" si="5"/>
        <v>30307.146499999872</v>
      </c>
      <c r="Q24" s="711">
        <f t="shared" si="5"/>
        <v>32028.351799999902</v>
      </c>
      <c r="R24" s="711">
        <f t="shared" si="5"/>
        <v>30701.978000000039</v>
      </c>
      <c r="S24" s="711">
        <f t="shared" si="5"/>
        <v>32423.18330000007</v>
      </c>
      <c r="T24" s="711">
        <f t="shared" si="5"/>
        <v>31096.809499999988</v>
      </c>
      <c r="U24" s="711">
        <f t="shared" si="5"/>
        <v>32818.014799999903</v>
      </c>
      <c r="V24" s="711">
        <f t="shared" si="5"/>
        <v>31822.354999999923</v>
      </c>
      <c r="W24" s="711">
        <f t="shared" si="5"/>
        <v>33543.560299999954</v>
      </c>
      <c r="X24" s="711">
        <f t="shared" si="5"/>
        <v>32217.186499999872</v>
      </c>
      <c r="Y24" s="711">
        <f t="shared" si="5"/>
        <v>33938.391799999903</v>
      </c>
      <c r="Z24" s="711">
        <f t="shared" si="5"/>
        <v>32612.017999999931</v>
      </c>
      <c r="AA24" s="711">
        <f t="shared" si="5"/>
        <v>34333.223299999961</v>
      </c>
      <c r="AB24" s="711">
        <f t="shared" si="5"/>
        <v>35226.776600000027</v>
      </c>
      <c r="AC24" s="711">
        <f t="shared" si="5"/>
        <v>33403.464799999965</v>
      </c>
      <c r="AD24" s="711">
        <f t="shared" si="5"/>
        <v>34297.018099999921</v>
      </c>
      <c r="AE24" s="711">
        <f t="shared" si="5"/>
        <v>35190.571399999862</v>
      </c>
      <c r="AF24" s="711">
        <f t="shared" si="5"/>
        <v>34658.408700000124</v>
      </c>
      <c r="AG24" s="711">
        <f t="shared" si="5"/>
        <v>33795.532000000057</v>
      </c>
      <c r="AH24" s="711">
        <f t="shared" si="5"/>
        <v>36310.948399999987</v>
      </c>
      <c r="AI24" s="711">
        <f>SUM(AI12,AI15,AI22,AI23)</f>
        <v>35448.071699999913</v>
      </c>
    </row>
    <row r="25" spans="1:35" s="4" customFormat="1" ht="25.5" x14ac:dyDescent="0.2">
      <c r="A25" s="61" t="s">
        <v>65</v>
      </c>
      <c r="B25" s="712">
        <f>B24+'Datu ievade'!B177</f>
        <v>169882.65619999994</v>
      </c>
      <c r="C25" s="712">
        <f>C24+B25</f>
        <v>140955.61383199994</v>
      </c>
      <c r="D25" s="712">
        <f t="shared" ref="D25:AH25" si="6">D24+C25</f>
        <v>158215.32568799984</v>
      </c>
      <c r="E25" s="712">
        <f t="shared" si="6"/>
        <v>196458.39638799982</v>
      </c>
      <c r="F25" s="712">
        <f t="shared" si="6"/>
        <v>233111.5961879997</v>
      </c>
      <c r="G25" s="711">
        <f t="shared" si="6"/>
        <v>270891.79018799961</v>
      </c>
      <c r="H25" s="711">
        <f t="shared" si="6"/>
        <v>310129.69238799956</v>
      </c>
      <c r="I25" s="711">
        <f t="shared" si="6"/>
        <v>347447.0096879995</v>
      </c>
      <c r="J25" s="711">
        <f t="shared" si="6"/>
        <v>386222.03518799949</v>
      </c>
      <c r="K25" s="711">
        <f t="shared" si="6"/>
        <v>426124.05488799949</v>
      </c>
      <c r="L25" s="711">
        <f t="shared" si="6"/>
        <v>466656.13078799954</v>
      </c>
      <c r="M25" s="711">
        <f t="shared" si="6"/>
        <v>504770.68378799956</v>
      </c>
      <c r="N25" s="711">
        <f t="shared" si="6"/>
        <v>534184.14788799954</v>
      </c>
      <c r="O25" s="711">
        <f t="shared" si="6"/>
        <v>565817.66818799952</v>
      </c>
      <c r="P25" s="711">
        <f t="shared" si="6"/>
        <v>596124.81468799943</v>
      </c>
      <c r="Q25" s="711">
        <f t="shared" si="6"/>
        <v>628153.16648799938</v>
      </c>
      <c r="R25" s="711">
        <f t="shared" si="6"/>
        <v>658855.14448799938</v>
      </c>
      <c r="S25" s="711">
        <f t="shared" si="6"/>
        <v>691278.32778799941</v>
      </c>
      <c r="T25" s="711">
        <f t="shared" si="6"/>
        <v>722375.13728799939</v>
      </c>
      <c r="U25" s="711">
        <f t="shared" si="6"/>
        <v>755193.15208799927</v>
      </c>
      <c r="V25" s="711">
        <f t="shared" si="6"/>
        <v>787015.50708799926</v>
      </c>
      <c r="W25" s="711">
        <f t="shared" si="6"/>
        <v>820559.06738799927</v>
      </c>
      <c r="X25" s="711">
        <f t="shared" si="6"/>
        <v>852776.2538879991</v>
      </c>
      <c r="Y25" s="711">
        <f t="shared" si="6"/>
        <v>886714.64568799897</v>
      </c>
      <c r="Z25" s="711">
        <f t="shared" si="6"/>
        <v>919326.66368799889</v>
      </c>
      <c r="AA25" s="711">
        <f t="shared" si="6"/>
        <v>953659.88698799885</v>
      </c>
      <c r="AB25" s="711">
        <f t="shared" si="6"/>
        <v>988886.66358799883</v>
      </c>
      <c r="AC25" s="711">
        <f t="shared" si="6"/>
        <v>1022290.1283879988</v>
      </c>
      <c r="AD25" s="711">
        <f t="shared" si="6"/>
        <v>1056587.1464879988</v>
      </c>
      <c r="AE25" s="711">
        <f t="shared" si="6"/>
        <v>1091777.7178879986</v>
      </c>
      <c r="AF25" s="711">
        <f t="shared" si="6"/>
        <v>1126436.1265879986</v>
      </c>
      <c r="AG25" s="711">
        <f t="shared" si="6"/>
        <v>1160231.6585879987</v>
      </c>
      <c r="AH25" s="711">
        <f t="shared" si="6"/>
        <v>1196542.6069879986</v>
      </c>
      <c r="AI25" s="711">
        <f>AI24+AH25</f>
        <v>1231990.6786879986</v>
      </c>
    </row>
    <row r="26" spans="1:35" x14ac:dyDescent="0.2">
      <c r="A26" s="62"/>
      <c r="B26" s="49"/>
      <c r="C26" s="49"/>
      <c r="D26" s="49"/>
      <c r="E26" s="49"/>
      <c r="F26" s="49"/>
    </row>
    <row r="27" spans="1:35" x14ac:dyDescent="0.2">
      <c r="A27" s="49"/>
      <c r="B27" s="63"/>
      <c r="C27" s="63"/>
      <c r="D27" s="63"/>
      <c r="E27" s="63"/>
      <c r="F27" s="63"/>
      <c r="G27" s="5"/>
      <c r="H27" s="5"/>
      <c r="I27" s="5"/>
      <c r="J27" s="5"/>
      <c r="K27" s="5"/>
      <c r="L27" s="5"/>
      <c r="M27" s="5"/>
      <c r="N27" s="5"/>
      <c r="O27" s="5"/>
      <c r="P27" s="5"/>
      <c r="Q27" s="5"/>
      <c r="R27" s="5"/>
      <c r="S27" s="5"/>
      <c r="T27" s="5"/>
      <c r="U27" s="5"/>
    </row>
    <row r="28" spans="1:35" ht="36" x14ac:dyDescent="0.2">
      <c r="A28" s="50" t="s">
        <v>423</v>
      </c>
      <c r="B28" s="49"/>
      <c r="C28" s="49"/>
      <c r="D28" s="63"/>
      <c r="E28" s="63"/>
      <c r="F28" s="63"/>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row>
    <row r="29" spans="1:35" s="4" customFormat="1" ht="12.75" x14ac:dyDescent="0.2">
      <c r="A29" s="52"/>
      <c r="B29" s="53"/>
      <c r="C29" s="53"/>
      <c r="D29" s="53"/>
      <c r="E29" s="53"/>
      <c r="F29" s="53"/>
      <c r="G29" s="18"/>
      <c r="H29" s="18"/>
      <c r="I29" s="18"/>
      <c r="J29" s="18"/>
      <c r="K29" s="18"/>
      <c r="L29" s="18"/>
      <c r="M29" s="18"/>
      <c r="N29" s="18"/>
      <c r="O29" s="18"/>
      <c r="P29" s="18"/>
      <c r="Q29" s="19" t="s">
        <v>16</v>
      </c>
      <c r="R29" s="18"/>
      <c r="S29" s="18"/>
      <c r="T29" s="18"/>
      <c r="U29" s="18"/>
      <c r="V29" s="18"/>
      <c r="W29" s="18"/>
      <c r="X29" s="18"/>
      <c r="Y29" s="18"/>
      <c r="Z29" s="18"/>
      <c r="AA29" s="18"/>
      <c r="AB29" s="18"/>
      <c r="AC29" s="18"/>
      <c r="AD29" s="18"/>
      <c r="AE29" s="18"/>
      <c r="AF29" s="18"/>
      <c r="AG29" s="18"/>
      <c r="AH29" s="18"/>
      <c r="AI29" s="18"/>
    </row>
    <row r="30" spans="1:35" s="4" customFormat="1" ht="12.75" x14ac:dyDescent="0.2">
      <c r="A30" s="52"/>
      <c r="B30" s="64">
        <f>B6</f>
        <v>2019</v>
      </c>
      <c r="C30" s="64">
        <f t="shared" ref="C30:AH30" si="7">B30+1</f>
        <v>2020</v>
      </c>
      <c r="D30" s="64">
        <f t="shared" si="7"/>
        <v>2021</v>
      </c>
      <c r="E30" s="64">
        <f t="shared" si="7"/>
        <v>2022</v>
      </c>
      <c r="F30" s="64">
        <f t="shared" si="7"/>
        <v>2023</v>
      </c>
      <c r="G30" s="45">
        <f t="shared" si="7"/>
        <v>2024</v>
      </c>
      <c r="H30" s="45">
        <f t="shared" si="7"/>
        <v>2025</v>
      </c>
      <c r="I30" s="45">
        <f t="shared" si="7"/>
        <v>2026</v>
      </c>
      <c r="J30" s="45">
        <f t="shared" si="7"/>
        <v>2027</v>
      </c>
      <c r="K30" s="45">
        <f t="shared" si="7"/>
        <v>2028</v>
      </c>
      <c r="L30" s="45">
        <f t="shared" si="7"/>
        <v>2029</v>
      </c>
      <c r="M30" s="45">
        <f t="shared" si="7"/>
        <v>2030</v>
      </c>
      <c r="N30" s="45">
        <f t="shared" si="7"/>
        <v>2031</v>
      </c>
      <c r="O30" s="45">
        <f t="shared" si="7"/>
        <v>2032</v>
      </c>
      <c r="P30" s="45">
        <f t="shared" si="7"/>
        <v>2033</v>
      </c>
      <c r="Q30" s="45">
        <f t="shared" si="7"/>
        <v>2034</v>
      </c>
      <c r="R30" s="45">
        <f t="shared" si="7"/>
        <v>2035</v>
      </c>
      <c r="S30" s="45">
        <f t="shared" si="7"/>
        <v>2036</v>
      </c>
      <c r="T30" s="45">
        <f t="shared" si="7"/>
        <v>2037</v>
      </c>
      <c r="U30" s="45">
        <f t="shared" si="7"/>
        <v>2038</v>
      </c>
      <c r="V30" s="45">
        <f t="shared" si="7"/>
        <v>2039</v>
      </c>
      <c r="W30" s="45">
        <f t="shared" si="7"/>
        <v>2040</v>
      </c>
      <c r="X30" s="45">
        <f t="shared" si="7"/>
        <v>2041</v>
      </c>
      <c r="Y30" s="45">
        <f t="shared" si="7"/>
        <v>2042</v>
      </c>
      <c r="Z30" s="45">
        <f t="shared" si="7"/>
        <v>2043</v>
      </c>
      <c r="AA30" s="45">
        <f t="shared" si="7"/>
        <v>2044</v>
      </c>
      <c r="AB30" s="45">
        <f t="shared" si="7"/>
        <v>2045</v>
      </c>
      <c r="AC30" s="45">
        <f t="shared" si="7"/>
        <v>2046</v>
      </c>
      <c r="AD30" s="45">
        <f t="shared" si="7"/>
        <v>2047</v>
      </c>
      <c r="AE30" s="45">
        <f t="shared" si="7"/>
        <v>2048</v>
      </c>
      <c r="AF30" s="45">
        <f t="shared" si="7"/>
        <v>2049</v>
      </c>
      <c r="AG30" s="45">
        <f t="shared" si="7"/>
        <v>2050</v>
      </c>
      <c r="AH30" s="45">
        <f t="shared" si="7"/>
        <v>2051</v>
      </c>
      <c r="AI30" s="45">
        <f>AH30+1</f>
        <v>2052</v>
      </c>
    </row>
    <row r="31" spans="1:35" ht="12.75" x14ac:dyDescent="0.2">
      <c r="A31" s="55" t="s">
        <v>53</v>
      </c>
      <c r="B31" s="65"/>
      <c r="C31" s="65"/>
      <c r="D31" s="65"/>
      <c r="E31" s="65"/>
      <c r="F31" s="65"/>
      <c r="G31" s="46"/>
      <c r="H31" s="46"/>
      <c r="I31" s="47"/>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row>
    <row r="32" spans="1:35" ht="12.75" x14ac:dyDescent="0.2">
      <c r="A32" s="52" t="s">
        <v>54</v>
      </c>
      <c r="B32" s="710">
        <f>'Saimnieciskas pamatdarbibas NP'!B160-'Naudas plusma'!B34-Aprekini!B307</f>
        <v>0</v>
      </c>
      <c r="C32" s="710">
        <f>'Saimnieciskas pamatdarbibas NP'!C160-'Naudas plusma'!C34-Aprekini!C307</f>
        <v>0</v>
      </c>
      <c r="D32" s="710">
        <f>'Saimnieciskas pamatdarbibas NP'!D160-'Naudas plusma'!D34-Aprekini!D307</f>
        <v>-3616.3005000000376</v>
      </c>
      <c r="E32" s="710">
        <f>'Saimnieciskas pamatdarbibas NP'!E160-'Naudas plusma'!E34-Aprekini!E307</f>
        <v>2027.4276999999856</v>
      </c>
      <c r="F32" s="710">
        <f>'Saimnieciskas pamatdarbibas NP'!F160-'Naudas plusma'!F34-Aprekini!F307</f>
        <v>-2971.4181000000608</v>
      </c>
      <c r="G32" s="730">
        <f>'Saimnieciskas pamatdarbibas NP'!G160-'Naudas plusma'!G34-Aprekini!G307</f>
        <v>-1629.1959000000461</v>
      </c>
      <c r="H32" s="730">
        <f>'Saimnieciskas pamatdarbibas NP'!H160-'Naudas plusma'!H34-Aprekini!H307</f>
        <v>-212.08569999994506</v>
      </c>
      <c r="I32" s="730">
        <f>'Saimnieciskas pamatdarbibas NP'!I160-'Naudas plusma'!I34-Aprekini!I307</f>
        <v>-2077.8415000000314</v>
      </c>
      <c r="J32" s="730">
        <f>'Saimnieciskas pamatdarbibas NP'!J160-'Naudas plusma'!J34-Aprekini!J307</f>
        <v>-3868.6993000001094</v>
      </c>
      <c r="K32" s="730">
        <f>'Saimnieciskas pamatdarbibas NP'!K160-'Naudas plusma'!K34-Aprekini!K307</f>
        <v>681.49090000006981</v>
      </c>
      <c r="L32" s="730">
        <f>'Saimnieciskas pamatdarbibas NP'!L160-'Naudas plusma'!L34-Aprekini!L307</f>
        <v>-421.02689999992435</v>
      </c>
      <c r="M32" s="730">
        <f>'Saimnieciskas pamatdarbibas NP'!M160-'Naudas plusma'!M34-Aprekini!M307</f>
        <v>-1250.312700000075</v>
      </c>
      <c r="N32" s="730">
        <f>'Saimnieciskas pamatdarbibas NP'!N160-'Naudas plusma'!N34-Aprekini!N307</f>
        <v>3813.4215000000258</v>
      </c>
      <c r="O32" s="730">
        <f>'Saimnieciskas pamatdarbibas NP'!O160-'Naudas plusma'!O34-Aprekini!O307</f>
        <v>2593.6647999999914</v>
      </c>
      <c r="P32" s="730">
        <f>'Saimnieciskas pamatdarbibas NP'!P160-'Naudas plusma'!P34-Aprekini!P307</f>
        <v>-293.46990000000369</v>
      </c>
      <c r="Q32" s="730">
        <f>'Saimnieciskas pamatdarbibas NP'!Q160-'Naudas plusma'!Q34-Aprekini!Q307</f>
        <v>3235.3614000000598</v>
      </c>
      <c r="R32" s="730">
        <f>'Saimnieciskas pamatdarbibas NP'!R160-'Naudas plusma'!R34-Aprekini!R307</f>
        <v>-3132.9733000000488</v>
      </c>
      <c r="S32" s="730">
        <f>'Saimnieciskas pamatdarbibas NP'!S160-'Naudas plusma'!S34-Aprekini!S307</f>
        <v>395.84800000000541</v>
      </c>
      <c r="T32" s="730">
        <f>'Saimnieciskas pamatdarbibas NP'!T160-'Naudas plusma'!T34-Aprekini!T307</f>
        <v>-2491.2767000000167</v>
      </c>
      <c r="U32" s="730">
        <f>'Saimnieciskas pamatdarbibas NP'!U160-'Naudas plusma'!U34-Aprekini!U307</f>
        <v>1037.5445999999283</v>
      </c>
      <c r="V32" s="730">
        <f>'Saimnieciskas pamatdarbibas NP'!V160-'Naudas plusma'!V34-Aprekini!V307</f>
        <v>-1501.4701000001005</v>
      </c>
      <c r="W32" s="730">
        <f>'Saimnieciskas pamatdarbibas NP'!W160-'Naudas plusma'!W34-Aprekini!W307</f>
        <v>2027.3611999999557</v>
      </c>
      <c r="X32" s="730">
        <f>'Saimnieciskas pamatdarbibas NP'!X160-'Naudas plusma'!X34-Aprekini!X307</f>
        <v>-859.77349999992293</v>
      </c>
      <c r="Y32" s="730">
        <f>'Saimnieciskas pamatdarbibas NP'!Y160-'Naudas plusma'!Y34-Aprekini!Y307</f>
        <v>-812.15220000000409</v>
      </c>
      <c r="Z32" s="730">
        <f>'Saimnieciskas pamatdarbibas NP'!Z160-'Naudas plusma'!Z34-Aprekini!Z307</f>
        <v>-491.29890000002342</v>
      </c>
      <c r="AA32" s="730">
        <f>'Saimnieciskas pamatdarbibas NP'!AA160-'Naudas plusma'!AA34-Aprekini!AA307</f>
        <v>-170.45559999994293</v>
      </c>
      <c r="AB32" s="730">
        <f>'Saimnieciskas pamatdarbibas NP'!AB160-'Naudas plusma'!AB34-Aprekini!AB307</f>
        <v>838.74769999989076</v>
      </c>
      <c r="AC32" s="730">
        <f>'Saimnieciskas pamatdarbibas NP'!AC160-'Naudas plusma'!AC34-Aprekini!AC307</f>
        <v>-1285.1490000001795</v>
      </c>
      <c r="AD32" s="730">
        <f>'Saimnieciskas pamatdarbibas NP'!AD160-'Naudas plusma'!AD34-Aprekini!AD307</f>
        <v>-275.95569999999134</v>
      </c>
      <c r="AE32" s="730">
        <f>'Saimnieciskas pamatdarbibas NP'!AE160-'Naudas plusma'!AE34-Aprekini!AE307</f>
        <v>733.24760000011884</v>
      </c>
      <c r="AF32" s="730">
        <f>'Saimnieciskas pamatdarbibas NP'!AF160-'Naudas plusma'!AF34-Aprekini!AF307</f>
        <v>232.72200000013254</v>
      </c>
      <c r="AG32" s="730">
        <f>'Saimnieciskas pamatdarbibas NP'!AG160-'Naudas plusma'!AG34-Aprekini!AG307</f>
        <v>-615.92359999980545</v>
      </c>
      <c r="AH32" s="730">
        <f>'Saimnieciskas pamatdarbibas NP'!AH160-'Naudas plusma'!AH34-Aprekini!AH307</f>
        <v>-1116.449200000141</v>
      </c>
      <c r="AI32" s="730">
        <f>'Saimnieciskas pamatdarbibas NP'!AI160-'Naudas plusma'!AI34-Aprekini!AI307</f>
        <v>-1965.0848000000115</v>
      </c>
    </row>
    <row r="33" spans="1:35" ht="12.75" x14ac:dyDescent="0.2">
      <c r="A33" s="66" t="s">
        <v>55</v>
      </c>
      <c r="B33" s="760">
        <f>-'Saimnieciskas pamatdarbibas NP'!B159*'gadu šķirošana'!C64</f>
        <v>0</v>
      </c>
      <c r="C33" s="760">
        <f>-'Saimnieciskas pamatdarbibas NP'!C159*'gadu šķirošana'!D64</f>
        <v>0</v>
      </c>
      <c r="D33" s="760">
        <f>-'Saimnieciskas pamatdarbibas NP'!D159*'gadu šķirošana'!E64</f>
        <v>-1375.9426999999955</v>
      </c>
      <c r="E33" s="760">
        <f>-'Saimnieciskas pamatdarbibas NP'!E159*'gadu šķirošana'!F64</f>
        <v>-1794.1364999999985</v>
      </c>
      <c r="F33" s="760">
        <f>-'Saimnieciskas pamatdarbibas NP'!F159*'gadu šķirošana'!G64</f>
        <v>-1546.7075999999977</v>
      </c>
      <c r="G33" s="761">
        <f>-'Saimnieciskas pamatdarbibas NP'!G159*'gadu šķirošana'!H64</f>
        <v>-1616.3315999999995</v>
      </c>
      <c r="H33" s="761">
        <f>-'Saimnieciskas pamatdarbibas NP'!H159*'gadu šķirošana'!I64</f>
        <v>-1689.7005000000001</v>
      </c>
      <c r="I33" s="761">
        <f>-'Saimnieciskas pamatdarbibas NP'!I159*'gadu šķirošana'!J64</f>
        <v>-1598.9256000000028</v>
      </c>
      <c r="J33" s="761">
        <f>-'Saimnieciskas pamatdarbibas NP'!J159*'gadu šķirošana'!K64</f>
        <v>-1511.8955999999998</v>
      </c>
      <c r="K33" s="761">
        <f>-'Saimnieciskas pamatdarbibas NP'!K159*'gadu šķirošana'!L64</f>
        <v>-1741.9184999999989</v>
      </c>
      <c r="L33" s="761">
        <f>-'Saimnieciskas pamatdarbibas NP'!L159*'gadu šķirošana'!M64</f>
        <v>-1689.7005000000013</v>
      </c>
      <c r="M33" s="761">
        <f>-'Saimnieciskas pamatdarbibas NP'!M159*'gadu šķirošana'!N64</f>
        <v>-1651.1436000000012</v>
      </c>
      <c r="N33" s="761">
        <f>-'Saimnieciskas pamatdarbibas NP'!N159*'gadu šķirošana'!O64</f>
        <v>-1107.8127000000022</v>
      </c>
      <c r="O33" s="761">
        <f>-'Saimnieciskas pamatdarbibas NP'!O159*'gadu šķirošana'!P64</f>
        <v>-1055.5946999999967</v>
      </c>
      <c r="P33" s="761">
        <f>-'Saimnieciskas pamatdarbibas NP'!P159*'gadu šķirošana'!Q64</f>
        <v>-930.00779999999907</v>
      </c>
      <c r="Q33" s="761">
        <f>-'Saimnieciskas pamatdarbibas NP'!Q159*'gadu šķirošana'!R64</f>
        <v>-1125.2186999999981</v>
      </c>
      <c r="R33" s="761">
        <f>-'Saimnieciskas pamatdarbibas NP'!R159*'gadu šķirošana'!S64</f>
        <v>-825.57180000000051</v>
      </c>
      <c r="S33" s="761">
        <f>-'Saimnieciskas pamatdarbibas NP'!S159*'gadu šķirošana'!T64</f>
        <v>-1020.7826999999994</v>
      </c>
      <c r="T33" s="761">
        <f>-'Saimnieciskas pamatdarbibas NP'!T159*'gadu šķirošana'!U64</f>
        <v>-895.19579999999996</v>
      </c>
      <c r="U33" s="761">
        <f>-'Saimnieciskas pamatdarbibas NP'!U159*'gadu šķirošana'!V64</f>
        <v>-1090.4066999999993</v>
      </c>
      <c r="V33" s="761">
        <f>-'Saimnieciskas pamatdarbibas NP'!V159*'gadu šķirošana'!W64</f>
        <v>-982.22579999999982</v>
      </c>
      <c r="W33" s="761">
        <f>-'Saimnieciskas pamatdarbibas NP'!W159*'gadu šķirošana'!X64</f>
        <v>-1177.4366999999984</v>
      </c>
      <c r="X33" s="761">
        <f>-'Saimnieciskas pamatdarbibas NP'!X159*'gadu šķirošana'!Y64</f>
        <v>-1051.8498000000006</v>
      </c>
      <c r="Y33" s="761">
        <f>-'Saimnieciskas pamatdarbibas NP'!Y159*'gadu šķirošana'!Z64</f>
        <v>-1073.0006999999987</v>
      </c>
      <c r="Z33" s="761">
        <f>-'Saimnieciskas pamatdarbibas NP'!Z159*'gadu šķirošana'!AA64</f>
        <v>-1107.8126999999993</v>
      </c>
      <c r="AA33" s="761">
        <f>-'Saimnieciskas pamatdarbibas NP'!AA159*'gadu šķirošana'!AB64</f>
        <v>-1142.6246999999996</v>
      </c>
      <c r="AB33" s="761">
        <f>-'Saimnieciskas pamatdarbibas NP'!AB159*'gadu šķirošana'!AC64</f>
        <v>-1212.2486999999994</v>
      </c>
      <c r="AC33" s="761">
        <f>-'Saimnieciskas pamatdarbibas NP'!AC159*'gadu šķirošana'!AD64</f>
        <v>-1125.2186999999992</v>
      </c>
      <c r="AD33" s="761">
        <f>-'Saimnieciskas pamatdarbibas NP'!AD159*'gadu šķirošana'!AE64</f>
        <v>-1194.8426999999997</v>
      </c>
      <c r="AE33" s="761">
        <f>-'Saimnieciskas pamatdarbibas NP'!AE159*'gadu šķirošana'!AF64</f>
        <v>-1264.4667000000018</v>
      </c>
      <c r="AF33" s="761">
        <f>-'Saimnieciskas pamatdarbibas NP'!AF159*'gadu šķirošana'!AG64</f>
        <v>-1264.466699999999</v>
      </c>
      <c r="AG33" s="761">
        <f>-'Saimnieciskas pamatdarbibas NP'!AG159*'gadu šķirošana'!AH64</f>
        <v>-1247.0606999999991</v>
      </c>
      <c r="AH33" s="761">
        <f>-'Saimnieciskas pamatdarbibas NP'!AH159*'gadu šķirošana'!AI64</f>
        <v>-1247.0606999999964</v>
      </c>
      <c r="AI33" s="761">
        <f>-'Saimnieciskas pamatdarbibas NP'!AI159*'gadu šķirošana'!AJ64</f>
        <v>-1229.6546999999991</v>
      </c>
    </row>
    <row r="34" spans="1:35" ht="12.75" x14ac:dyDescent="0.2">
      <c r="A34" s="66" t="s">
        <v>56</v>
      </c>
      <c r="B34" s="760">
        <f>Aprekini!B121+Aprekini!B127+Aprekini!B133</f>
        <v>0</v>
      </c>
      <c r="C34" s="760">
        <f>Aprekini!C121+Aprekini!C127+Aprekini!C133</f>
        <v>0</v>
      </c>
      <c r="D34" s="760">
        <f>Aprekini!D121+Aprekini!D127+Aprekini!D133</f>
        <v>15988.5</v>
      </c>
      <c r="E34" s="760">
        <f>Aprekini!E121+Aprekini!E127+Aprekini!E133</f>
        <v>18450.5</v>
      </c>
      <c r="F34" s="760">
        <f>Aprekini!F121+Aprekini!F127+Aprekini!F133</f>
        <v>18450.5</v>
      </c>
      <c r="G34" s="761">
        <f>Aprekini!G121+Aprekini!G127+Aprekini!G133</f>
        <v>18450.5</v>
      </c>
      <c r="H34" s="761">
        <f>Aprekini!H121+Aprekini!H127+Aprekini!H133</f>
        <v>18450.5</v>
      </c>
      <c r="I34" s="761">
        <f>Aprekini!I121+Aprekini!I127+Aprekini!I133</f>
        <v>18450.5</v>
      </c>
      <c r="J34" s="761">
        <f>Aprekini!J121+Aprekini!J127+Aprekini!J133</f>
        <v>18450.5</v>
      </c>
      <c r="K34" s="761">
        <f>Aprekini!K121+Aprekini!K127+Aprekini!K133</f>
        <v>18450.5</v>
      </c>
      <c r="L34" s="761">
        <f>Aprekini!L121+Aprekini!L127+Aprekini!L133</f>
        <v>18450.5</v>
      </c>
      <c r="M34" s="761">
        <f>Aprekini!M121+Aprekini!M127+Aprekini!M133</f>
        <v>18450.5</v>
      </c>
      <c r="N34" s="761">
        <f>Aprekini!N121+Aprekini!N127+Aprekini!N133</f>
        <v>2462</v>
      </c>
      <c r="O34" s="761">
        <f>Aprekini!O121+Aprekini!O127+Aprekini!O133</f>
        <v>2462</v>
      </c>
      <c r="P34" s="761">
        <f>Aprekini!P121+Aprekini!P127+Aprekini!P133</f>
        <v>2462</v>
      </c>
      <c r="Q34" s="761">
        <f>Aprekini!Q121+Aprekini!Q127+Aprekini!Q133</f>
        <v>2462</v>
      </c>
      <c r="R34" s="761">
        <f>Aprekini!R121+Aprekini!R127+Aprekini!R133</f>
        <v>2462</v>
      </c>
      <c r="S34" s="761">
        <f>Aprekini!S121+Aprekini!S127+Aprekini!S133</f>
        <v>2462</v>
      </c>
      <c r="T34" s="761">
        <f>Aprekini!T121+Aprekini!T127+Aprekini!T133</f>
        <v>2462</v>
      </c>
      <c r="U34" s="761">
        <f>Aprekini!U121+Aprekini!U127+Aprekini!U133</f>
        <v>2462</v>
      </c>
      <c r="V34" s="761">
        <f>Aprekini!V121+Aprekini!V127+Aprekini!V133</f>
        <v>2462</v>
      </c>
      <c r="W34" s="761">
        <f>Aprekini!W121+Aprekini!W127+Aprekini!W133</f>
        <v>2462</v>
      </c>
      <c r="X34" s="761">
        <f>Aprekini!X121+Aprekini!X127+Aprekini!X133</f>
        <v>2462</v>
      </c>
      <c r="Y34" s="761">
        <f>Aprekini!Y121+Aprekini!Y127+Aprekini!Y133</f>
        <v>2462</v>
      </c>
      <c r="Z34" s="761">
        <f>Aprekini!Z121+Aprekini!Z127+Aprekini!Z133</f>
        <v>2462</v>
      </c>
      <c r="AA34" s="761">
        <f>Aprekini!AA121+Aprekini!AA127+Aprekini!AA133</f>
        <v>2462</v>
      </c>
      <c r="AB34" s="761">
        <f>Aprekini!AB121+Aprekini!AB127+Aprekini!AB133</f>
        <v>2462</v>
      </c>
      <c r="AC34" s="761">
        <f>Aprekini!AC121+Aprekini!AC127+Aprekini!AC133</f>
        <v>2462</v>
      </c>
      <c r="AD34" s="761">
        <f>Aprekini!AD121+Aprekini!AD127+Aprekini!AD133</f>
        <v>2462</v>
      </c>
      <c r="AE34" s="761">
        <f>Aprekini!AE121+Aprekini!AE127+Aprekini!AE133</f>
        <v>2462</v>
      </c>
      <c r="AF34" s="761">
        <f>Aprekini!AF121+Aprekini!AF127+Aprekini!AF133</f>
        <v>2462</v>
      </c>
      <c r="AG34" s="761">
        <f>Aprekini!AG121+Aprekini!AG127+Aprekini!AG133</f>
        <v>2462</v>
      </c>
      <c r="AH34" s="761">
        <f>Aprekini!AH121+Aprekini!AH127+Aprekini!AH133</f>
        <v>2462</v>
      </c>
      <c r="AI34" s="761">
        <f>Aprekini!AI121+Aprekini!AI127+Aprekini!AI133</f>
        <v>2462</v>
      </c>
    </row>
    <row r="35" spans="1:35" ht="12.75" x14ac:dyDescent="0.2">
      <c r="A35" s="66" t="s">
        <v>624</v>
      </c>
      <c r="B35" s="760">
        <v>0</v>
      </c>
      <c r="C35" s="760">
        <v>0</v>
      </c>
      <c r="D35" s="760">
        <v>0</v>
      </c>
      <c r="E35" s="760">
        <v>0</v>
      </c>
      <c r="F35" s="760">
        <v>0</v>
      </c>
      <c r="G35" s="761">
        <v>0</v>
      </c>
      <c r="H35" s="761">
        <v>0</v>
      </c>
      <c r="I35" s="761">
        <v>0</v>
      </c>
      <c r="J35" s="761">
        <v>0</v>
      </c>
      <c r="K35" s="761">
        <v>0</v>
      </c>
      <c r="L35" s="761">
        <v>0</v>
      </c>
      <c r="M35" s="761">
        <v>0</v>
      </c>
      <c r="N35" s="761">
        <v>0</v>
      </c>
      <c r="O35" s="761">
        <v>0</v>
      </c>
      <c r="P35" s="761">
        <v>0</v>
      </c>
      <c r="Q35" s="761">
        <v>0</v>
      </c>
      <c r="R35" s="761">
        <v>0</v>
      </c>
      <c r="S35" s="761">
        <v>0</v>
      </c>
      <c r="T35" s="761">
        <v>0</v>
      </c>
      <c r="U35" s="761">
        <v>0</v>
      </c>
      <c r="V35" s="761">
        <v>0</v>
      </c>
      <c r="W35" s="761">
        <v>0</v>
      </c>
      <c r="X35" s="761">
        <v>0</v>
      </c>
      <c r="Y35" s="761">
        <v>0</v>
      </c>
      <c r="Z35" s="761">
        <v>0</v>
      </c>
      <c r="AA35" s="761">
        <v>0</v>
      </c>
      <c r="AB35" s="761">
        <v>0</v>
      </c>
      <c r="AC35" s="761">
        <v>0</v>
      </c>
      <c r="AD35" s="761">
        <v>0</v>
      </c>
      <c r="AE35" s="761">
        <v>0</v>
      </c>
      <c r="AF35" s="761">
        <v>0</v>
      </c>
      <c r="AG35" s="761">
        <v>0</v>
      </c>
      <c r="AH35" s="761">
        <v>0</v>
      </c>
      <c r="AI35" s="761">
        <v>0</v>
      </c>
    </row>
    <row r="36" spans="1:35" ht="12.75" x14ac:dyDescent="0.2">
      <c r="A36" s="67" t="s">
        <v>57</v>
      </c>
      <c r="B36" s="712">
        <f>SUM(B32:B35)</f>
        <v>0</v>
      </c>
      <c r="C36" s="712">
        <f>SUM(C32:C35)</f>
        <v>0</v>
      </c>
      <c r="D36" s="712">
        <f t="shared" ref="D36:AH36" si="8">SUM(D32:D35)</f>
        <v>10996.256799999966</v>
      </c>
      <c r="E36" s="712">
        <f t="shared" si="8"/>
        <v>18683.791199999989</v>
      </c>
      <c r="F36" s="712">
        <f t="shared" si="8"/>
        <v>13932.374299999941</v>
      </c>
      <c r="G36" s="711">
        <f t="shared" si="8"/>
        <v>15204.972499999954</v>
      </c>
      <c r="H36" s="711">
        <f t="shared" si="8"/>
        <v>16548.713800000056</v>
      </c>
      <c r="I36" s="711">
        <f t="shared" si="8"/>
        <v>14773.732899999966</v>
      </c>
      <c r="J36" s="711">
        <f t="shared" si="8"/>
        <v>13069.905099999891</v>
      </c>
      <c r="K36" s="711">
        <f t="shared" si="8"/>
        <v>17390.07240000007</v>
      </c>
      <c r="L36" s="711">
        <f t="shared" si="8"/>
        <v>16339.772600000075</v>
      </c>
      <c r="M36" s="711">
        <f t="shared" si="8"/>
        <v>15549.043699999924</v>
      </c>
      <c r="N36" s="711">
        <f t="shared" si="8"/>
        <v>5167.6088000000236</v>
      </c>
      <c r="O36" s="711">
        <f t="shared" si="8"/>
        <v>4000.0700999999945</v>
      </c>
      <c r="P36" s="711">
        <f t="shared" si="8"/>
        <v>1238.5222999999974</v>
      </c>
      <c r="Q36" s="711">
        <f t="shared" si="8"/>
        <v>4572.1427000000622</v>
      </c>
      <c r="R36" s="711">
        <f t="shared" si="8"/>
        <v>-1496.5451000000494</v>
      </c>
      <c r="S36" s="711">
        <f t="shared" si="8"/>
        <v>1837.0653000000061</v>
      </c>
      <c r="T36" s="711">
        <f t="shared" si="8"/>
        <v>-924.47250000001668</v>
      </c>
      <c r="U36" s="711">
        <f t="shared" si="8"/>
        <v>2409.1378999999288</v>
      </c>
      <c r="V36" s="711">
        <f t="shared" si="8"/>
        <v>-21.69590000010021</v>
      </c>
      <c r="W36" s="711">
        <f t="shared" si="8"/>
        <v>3311.9244999999573</v>
      </c>
      <c r="X36" s="711">
        <f t="shared" si="8"/>
        <v>550.37670000007643</v>
      </c>
      <c r="Y36" s="711">
        <f t="shared" si="8"/>
        <v>576.84709999999723</v>
      </c>
      <c r="Z36" s="711">
        <f t="shared" si="8"/>
        <v>862.88839999997731</v>
      </c>
      <c r="AA36" s="711">
        <f t="shared" si="8"/>
        <v>1148.9197000000574</v>
      </c>
      <c r="AB36" s="711">
        <f t="shared" si="8"/>
        <v>2088.4989999998916</v>
      </c>
      <c r="AC36" s="711">
        <f t="shared" si="8"/>
        <v>51.632299999821043</v>
      </c>
      <c r="AD36" s="711">
        <f t="shared" si="8"/>
        <v>991.20160000000897</v>
      </c>
      <c r="AE36" s="711">
        <f t="shared" si="8"/>
        <v>1930.7809000001171</v>
      </c>
      <c r="AF36" s="711">
        <f t="shared" si="8"/>
        <v>1430.2553000001335</v>
      </c>
      <c r="AG36" s="711">
        <f t="shared" si="8"/>
        <v>599.01570000019547</v>
      </c>
      <c r="AH36" s="711">
        <f t="shared" si="8"/>
        <v>98.49009999986265</v>
      </c>
      <c r="AI36" s="711">
        <f>SUM(AI32:AI35)</f>
        <v>-732.73950000001059</v>
      </c>
    </row>
    <row r="37" spans="1:35" ht="12.75" x14ac:dyDescent="0.2">
      <c r="A37" s="40" t="s">
        <v>58</v>
      </c>
      <c r="B37" s="730"/>
      <c r="C37" s="730"/>
      <c r="D37" s="730"/>
      <c r="E37" s="730"/>
      <c r="F37" s="730"/>
      <c r="G37" s="730"/>
      <c r="H37" s="730"/>
      <c r="I37" s="730"/>
      <c r="J37" s="730"/>
      <c r="K37" s="730"/>
      <c r="L37" s="730"/>
      <c r="M37" s="730"/>
      <c r="N37" s="730"/>
      <c r="O37" s="730"/>
      <c r="P37" s="730"/>
      <c r="Q37" s="730"/>
      <c r="R37" s="730"/>
      <c r="S37" s="730"/>
      <c r="T37" s="730"/>
      <c r="U37" s="730"/>
      <c r="V37" s="730"/>
      <c r="W37" s="730"/>
      <c r="X37" s="730"/>
      <c r="Y37" s="730"/>
      <c r="Z37" s="730"/>
      <c r="AA37" s="730"/>
      <c r="AB37" s="730"/>
      <c r="AC37" s="730"/>
      <c r="AD37" s="730"/>
      <c r="AE37" s="730"/>
      <c r="AF37" s="730"/>
      <c r="AG37" s="730"/>
      <c r="AH37" s="730"/>
      <c r="AI37" s="730"/>
    </row>
    <row r="38" spans="1:35" ht="12.75" x14ac:dyDescent="0.2">
      <c r="A38" s="17" t="s">
        <v>59</v>
      </c>
      <c r="B38" s="730">
        <f>B14</f>
        <v>0</v>
      </c>
      <c r="C38" s="730">
        <f>C14</f>
        <v>-246585</v>
      </c>
      <c r="D38" s="730">
        <f t="shared" ref="D38:AH38" si="9">D14</f>
        <v>-36400</v>
      </c>
      <c r="E38" s="730">
        <f t="shared" si="9"/>
        <v>0</v>
      </c>
      <c r="F38" s="730">
        <f t="shared" si="9"/>
        <v>0</v>
      </c>
      <c r="G38" s="730">
        <f t="shared" si="9"/>
        <v>0</v>
      </c>
      <c r="H38" s="730">
        <f t="shared" si="9"/>
        <v>0</v>
      </c>
      <c r="I38" s="730">
        <f t="shared" si="9"/>
        <v>0</v>
      </c>
      <c r="J38" s="730">
        <f t="shared" si="9"/>
        <v>0</v>
      </c>
      <c r="K38" s="730">
        <f t="shared" si="9"/>
        <v>0</v>
      </c>
      <c r="L38" s="730">
        <f t="shared" si="9"/>
        <v>0</v>
      </c>
      <c r="M38" s="730">
        <f t="shared" si="9"/>
        <v>0</v>
      </c>
      <c r="N38" s="730">
        <f t="shared" si="9"/>
        <v>0</v>
      </c>
      <c r="O38" s="730">
        <f t="shared" si="9"/>
        <v>0</v>
      </c>
      <c r="P38" s="730">
        <f t="shared" si="9"/>
        <v>0</v>
      </c>
      <c r="Q38" s="730">
        <f t="shared" si="9"/>
        <v>0</v>
      </c>
      <c r="R38" s="730">
        <f t="shared" si="9"/>
        <v>0</v>
      </c>
      <c r="S38" s="730">
        <f t="shared" si="9"/>
        <v>0</v>
      </c>
      <c r="T38" s="730">
        <f t="shared" si="9"/>
        <v>0</v>
      </c>
      <c r="U38" s="730">
        <f t="shared" si="9"/>
        <v>0</v>
      </c>
      <c r="V38" s="730">
        <f t="shared" si="9"/>
        <v>0</v>
      </c>
      <c r="W38" s="730">
        <f t="shared" si="9"/>
        <v>0</v>
      </c>
      <c r="X38" s="730">
        <f t="shared" si="9"/>
        <v>0</v>
      </c>
      <c r="Y38" s="730">
        <f t="shared" si="9"/>
        <v>0</v>
      </c>
      <c r="Z38" s="730">
        <f t="shared" si="9"/>
        <v>0</v>
      </c>
      <c r="AA38" s="730">
        <f t="shared" si="9"/>
        <v>0</v>
      </c>
      <c r="AB38" s="730">
        <f t="shared" si="9"/>
        <v>0</v>
      </c>
      <c r="AC38" s="730">
        <f t="shared" si="9"/>
        <v>0</v>
      </c>
      <c r="AD38" s="730">
        <f t="shared" si="9"/>
        <v>0</v>
      </c>
      <c r="AE38" s="730">
        <f t="shared" si="9"/>
        <v>0</v>
      </c>
      <c r="AF38" s="730">
        <f t="shared" si="9"/>
        <v>0</v>
      </c>
      <c r="AG38" s="730">
        <f t="shared" si="9"/>
        <v>0</v>
      </c>
      <c r="AH38" s="730">
        <f t="shared" si="9"/>
        <v>0</v>
      </c>
      <c r="AI38" s="730">
        <f>AI14</f>
        <v>0</v>
      </c>
    </row>
    <row r="39" spans="1:35" ht="12.75" x14ac:dyDescent="0.2">
      <c r="A39" s="40" t="s">
        <v>60</v>
      </c>
      <c r="B39" s="711">
        <f>SUM(B38:B38)</f>
        <v>0</v>
      </c>
      <c r="C39" s="711">
        <f>SUM(C38:C38)</f>
        <v>-246585</v>
      </c>
      <c r="D39" s="711">
        <f t="shared" ref="D39:AH39" si="10">SUM(D38:D38)</f>
        <v>-36400</v>
      </c>
      <c r="E39" s="711">
        <f t="shared" si="10"/>
        <v>0</v>
      </c>
      <c r="F39" s="711">
        <f t="shared" si="10"/>
        <v>0</v>
      </c>
      <c r="G39" s="711">
        <f t="shared" si="10"/>
        <v>0</v>
      </c>
      <c r="H39" s="711">
        <f t="shared" si="10"/>
        <v>0</v>
      </c>
      <c r="I39" s="711">
        <f t="shared" si="10"/>
        <v>0</v>
      </c>
      <c r="J39" s="711">
        <f t="shared" si="10"/>
        <v>0</v>
      </c>
      <c r="K39" s="711">
        <f t="shared" si="10"/>
        <v>0</v>
      </c>
      <c r="L39" s="711">
        <f t="shared" si="10"/>
        <v>0</v>
      </c>
      <c r="M39" s="711">
        <f t="shared" si="10"/>
        <v>0</v>
      </c>
      <c r="N39" s="711">
        <f t="shared" si="10"/>
        <v>0</v>
      </c>
      <c r="O39" s="711">
        <f t="shared" si="10"/>
        <v>0</v>
      </c>
      <c r="P39" s="711">
        <f t="shared" si="10"/>
        <v>0</v>
      </c>
      <c r="Q39" s="711">
        <f t="shared" si="10"/>
        <v>0</v>
      </c>
      <c r="R39" s="711">
        <f t="shared" si="10"/>
        <v>0</v>
      </c>
      <c r="S39" s="711">
        <f t="shared" si="10"/>
        <v>0</v>
      </c>
      <c r="T39" s="711">
        <f t="shared" si="10"/>
        <v>0</v>
      </c>
      <c r="U39" s="711">
        <f t="shared" si="10"/>
        <v>0</v>
      </c>
      <c r="V39" s="711">
        <f t="shared" si="10"/>
        <v>0</v>
      </c>
      <c r="W39" s="711">
        <f t="shared" si="10"/>
        <v>0</v>
      </c>
      <c r="X39" s="711">
        <f t="shared" si="10"/>
        <v>0</v>
      </c>
      <c r="Y39" s="711">
        <f t="shared" si="10"/>
        <v>0</v>
      </c>
      <c r="Z39" s="711">
        <f t="shared" si="10"/>
        <v>0</v>
      </c>
      <c r="AA39" s="711">
        <f t="shared" si="10"/>
        <v>0</v>
      </c>
      <c r="AB39" s="711">
        <f t="shared" si="10"/>
        <v>0</v>
      </c>
      <c r="AC39" s="711">
        <f t="shared" si="10"/>
        <v>0</v>
      </c>
      <c r="AD39" s="711">
        <f t="shared" si="10"/>
        <v>0</v>
      </c>
      <c r="AE39" s="711">
        <f t="shared" si="10"/>
        <v>0</v>
      </c>
      <c r="AF39" s="711">
        <f t="shared" si="10"/>
        <v>0</v>
      </c>
      <c r="AG39" s="711">
        <f t="shared" si="10"/>
        <v>0</v>
      </c>
      <c r="AH39" s="711">
        <f t="shared" si="10"/>
        <v>0</v>
      </c>
      <c r="AI39" s="711">
        <f>SUM(AI38:AI38)</f>
        <v>0</v>
      </c>
    </row>
    <row r="40" spans="1:35" ht="12.75" x14ac:dyDescent="0.2">
      <c r="A40" s="40" t="s">
        <v>61</v>
      </c>
      <c r="B40" s="711"/>
      <c r="C40" s="711"/>
      <c r="D40" s="711"/>
      <c r="E40" s="711"/>
      <c r="F40" s="711"/>
      <c r="G40" s="711"/>
      <c r="H40" s="711"/>
      <c r="I40" s="711"/>
      <c r="J40" s="711"/>
      <c r="K40" s="711"/>
      <c r="L40" s="711"/>
      <c r="M40" s="711"/>
      <c r="N40" s="711"/>
      <c r="O40" s="711"/>
      <c r="P40" s="711"/>
      <c r="Q40" s="711"/>
      <c r="R40" s="711"/>
      <c r="S40" s="711"/>
      <c r="T40" s="711"/>
      <c r="U40" s="711"/>
      <c r="V40" s="711"/>
      <c r="W40" s="711"/>
      <c r="X40" s="711"/>
      <c r="Y40" s="711"/>
      <c r="Z40" s="711"/>
      <c r="AA40" s="711"/>
      <c r="AB40" s="711"/>
      <c r="AC40" s="711"/>
      <c r="AD40" s="711"/>
      <c r="AE40" s="711"/>
      <c r="AF40" s="711"/>
      <c r="AG40" s="711"/>
      <c r="AH40" s="711"/>
      <c r="AI40" s="711"/>
    </row>
    <row r="41" spans="1:35" ht="12.75" x14ac:dyDescent="0.2">
      <c r="A41" s="41" t="s">
        <v>62</v>
      </c>
      <c r="B41" s="731">
        <f t="shared" ref="B41:AH41" si="11">SUM(B42:B44)</f>
        <v>0</v>
      </c>
      <c r="C41" s="731">
        <f t="shared" si="11"/>
        <v>69553.146632000004</v>
      </c>
      <c r="D41" s="731">
        <f t="shared" si="11"/>
        <v>17444.473956000002</v>
      </c>
      <c r="E41" s="731">
        <f t="shared" si="11"/>
        <v>0</v>
      </c>
      <c r="F41" s="731">
        <f t="shared" si="11"/>
        <v>0</v>
      </c>
      <c r="G41" s="731">
        <f t="shared" si="11"/>
        <v>0</v>
      </c>
      <c r="H41" s="731">
        <f t="shared" si="11"/>
        <v>0</v>
      </c>
      <c r="I41" s="731">
        <f t="shared" si="11"/>
        <v>0</v>
      </c>
      <c r="J41" s="731">
        <f t="shared" si="11"/>
        <v>0</v>
      </c>
      <c r="K41" s="731">
        <f t="shared" si="11"/>
        <v>0</v>
      </c>
      <c r="L41" s="731">
        <f t="shared" si="11"/>
        <v>0</v>
      </c>
      <c r="M41" s="731">
        <f t="shared" si="11"/>
        <v>0</v>
      </c>
      <c r="N41" s="731">
        <f t="shared" si="11"/>
        <v>0</v>
      </c>
      <c r="O41" s="731">
        <f t="shared" si="11"/>
        <v>0</v>
      </c>
      <c r="P41" s="731">
        <f t="shared" si="11"/>
        <v>0</v>
      </c>
      <c r="Q41" s="731">
        <f t="shared" si="11"/>
        <v>0</v>
      </c>
      <c r="R41" s="731">
        <f t="shared" si="11"/>
        <v>0</v>
      </c>
      <c r="S41" s="731">
        <f t="shared" si="11"/>
        <v>0</v>
      </c>
      <c r="T41" s="731">
        <f t="shared" si="11"/>
        <v>0</v>
      </c>
      <c r="U41" s="731">
        <f t="shared" si="11"/>
        <v>0</v>
      </c>
      <c r="V41" s="731">
        <f t="shared" si="11"/>
        <v>0</v>
      </c>
      <c r="W41" s="731">
        <f t="shared" si="11"/>
        <v>0</v>
      </c>
      <c r="X41" s="731">
        <f t="shared" si="11"/>
        <v>0</v>
      </c>
      <c r="Y41" s="731">
        <f t="shared" si="11"/>
        <v>0</v>
      </c>
      <c r="Z41" s="731">
        <f t="shared" si="11"/>
        <v>0</v>
      </c>
      <c r="AA41" s="731">
        <f t="shared" si="11"/>
        <v>0</v>
      </c>
      <c r="AB41" s="731">
        <f t="shared" si="11"/>
        <v>0</v>
      </c>
      <c r="AC41" s="731">
        <f t="shared" si="11"/>
        <v>0</v>
      </c>
      <c r="AD41" s="731">
        <f t="shared" si="11"/>
        <v>0</v>
      </c>
      <c r="AE41" s="731">
        <f t="shared" si="11"/>
        <v>0</v>
      </c>
      <c r="AF41" s="731">
        <f t="shared" si="11"/>
        <v>0</v>
      </c>
      <c r="AG41" s="731">
        <f t="shared" si="11"/>
        <v>0</v>
      </c>
      <c r="AH41" s="731">
        <f t="shared" si="11"/>
        <v>0</v>
      </c>
      <c r="AI41" s="731">
        <f>SUM(AI42:AI44)</f>
        <v>0</v>
      </c>
    </row>
    <row r="42" spans="1:35" ht="12.75" x14ac:dyDescent="0.2">
      <c r="A42" s="42" t="str">
        <f t="shared" ref="A42:C44" si="12">A18</f>
        <v>3.4. Valsts budžeta dotācija</v>
      </c>
      <c r="B42" s="709">
        <f t="shared" si="12"/>
        <v>0</v>
      </c>
      <c r="C42" s="731">
        <f t="shared" si="12"/>
        <v>0</v>
      </c>
      <c r="D42" s="731">
        <f t="shared" ref="D42:AH42" si="13">D18</f>
        <v>0</v>
      </c>
      <c r="E42" s="731">
        <f t="shared" si="13"/>
        <v>0</v>
      </c>
      <c r="F42" s="731">
        <f t="shared" si="13"/>
        <v>0</v>
      </c>
      <c r="G42" s="731">
        <f t="shared" si="13"/>
        <v>0</v>
      </c>
      <c r="H42" s="731">
        <f t="shared" si="13"/>
        <v>0</v>
      </c>
      <c r="I42" s="731">
        <f t="shared" si="13"/>
        <v>0</v>
      </c>
      <c r="J42" s="731">
        <f t="shared" si="13"/>
        <v>0</v>
      </c>
      <c r="K42" s="731">
        <f t="shared" si="13"/>
        <v>0</v>
      </c>
      <c r="L42" s="731">
        <f t="shared" si="13"/>
        <v>0</v>
      </c>
      <c r="M42" s="731">
        <f t="shared" si="13"/>
        <v>0</v>
      </c>
      <c r="N42" s="731">
        <f t="shared" si="13"/>
        <v>0</v>
      </c>
      <c r="O42" s="731">
        <f t="shared" si="13"/>
        <v>0</v>
      </c>
      <c r="P42" s="731">
        <f t="shared" si="13"/>
        <v>0</v>
      </c>
      <c r="Q42" s="731">
        <f t="shared" si="13"/>
        <v>0</v>
      </c>
      <c r="R42" s="731">
        <f t="shared" si="13"/>
        <v>0</v>
      </c>
      <c r="S42" s="731">
        <f t="shared" si="13"/>
        <v>0</v>
      </c>
      <c r="T42" s="731">
        <f t="shared" si="13"/>
        <v>0</v>
      </c>
      <c r="U42" s="731">
        <f t="shared" si="13"/>
        <v>0</v>
      </c>
      <c r="V42" s="731">
        <f t="shared" si="13"/>
        <v>0</v>
      </c>
      <c r="W42" s="731">
        <f t="shared" si="13"/>
        <v>0</v>
      </c>
      <c r="X42" s="731">
        <f t="shared" si="13"/>
        <v>0</v>
      </c>
      <c r="Y42" s="731">
        <f t="shared" si="13"/>
        <v>0</v>
      </c>
      <c r="Z42" s="731">
        <f t="shared" si="13"/>
        <v>0</v>
      </c>
      <c r="AA42" s="731">
        <f t="shared" si="13"/>
        <v>0</v>
      </c>
      <c r="AB42" s="731">
        <f t="shared" si="13"/>
        <v>0</v>
      </c>
      <c r="AC42" s="731">
        <f t="shared" si="13"/>
        <v>0</v>
      </c>
      <c r="AD42" s="731">
        <f t="shared" si="13"/>
        <v>0</v>
      </c>
      <c r="AE42" s="731">
        <f t="shared" si="13"/>
        <v>0</v>
      </c>
      <c r="AF42" s="731">
        <f t="shared" si="13"/>
        <v>0</v>
      </c>
      <c r="AG42" s="731">
        <f t="shared" si="13"/>
        <v>0</v>
      </c>
      <c r="AH42" s="731">
        <f t="shared" si="13"/>
        <v>0</v>
      </c>
      <c r="AI42" s="731">
        <f t="shared" ref="AI42:AI45" si="14">AI18</f>
        <v>0</v>
      </c>
    </row>
    <row r="43" spans="1:35" ht="12.75" x14ac:dyDescent="0.2">
      <c r="A43" s="42" t="str">
        <f t="shared" si="12"/>
        <v>3.7. KF līdzfinansējums</v>
      </c>
      <c r="B43" s="709">
        <f t="shared" si="12"/>
        <v>0</v>
      </c>
      <c r="C43" s="731">
        <f t="shared" si="12"/>
        <v>19553.146632</v>
      </c>
      <c r="D43" s="731">
        <f t="shared" ref="D43:AH43" si="15">D19</f>
        <v>17444.473956000002</v>
      </c>
      <c r="E43" s="731">
        <f t="shared" si="15"/>
        <v>0</v>
      </c>
      <c r="F43" s="731">
        <f t="shared" si="15"/>
        <v>0</v>
      </c>
      <c r="G43" s="731">
        <f t="shared" si="15"/>
        <v>0</v>
      </c>
      <c r="H43" s="731">
        <f t="shared" si="15"/>
        <v>0</v>
      </c>
      <c r="I43" s="731">
        <f t="shared" si="15"/>
        <v>0</v>
      </c>
      <c r="J43" s="731">
        <f t="shared" si="15"/>
        <v>0</v>
      </c>
      <c r="K43" s="731">
        <f t="shared" si="15"/>
        <v>0</v>
      </c>
      <c r="L43" s="731">
        <f t="shared" si="15"/>
        <v>0</v>
      </c>
      <c r="M43" s="731">
        <f t="shared" si="15"/>
        <v>0</v>
      </c>
      <c r="N43" s="731">
        <f t="shared" si="15"/>
        <v>0</v>
      </c>
      <c r="O43" s="731">
        <f t="shared" si="15"/>
        <v>0</v>
      </c>
      <c r="P43" s="731">
        <f t="shared" si="15"/>
        <v>0</v>
      </c>
      <c r="Q43" s="731">
        <f t="shared" si="15"/>
        <v>0</v>
      </c>
      <c r="R43" s="731">
        <f t="shared" si="15"/>
        <v>0</v>
      </c>
      <c r="S43" s="731">
        <f t="shared" si="15"/>
        <v>0</v>
      </c>
      <c r="T43" s="731">
        <f t="shared" si="15"/>
        <v>0</v>
      </c>
      <c r="U43" s="731">
        <f t="shared" si="15"/>
        <v>0</v>
      </c>
      <c r="V43" s="731">
        <f t="shared" si="15"/>
        <v>0</v>
      </c>
      <c r="W43" s="731">
        <f t="shared" si="15"/>
        <v>0</v>
      </c>
      <c r="X43" s="731">
        <f t="shared" si="15"/>
        <v>0</v>
      </c>
      <c r="Y43" s="731">
        <f t="shared" si="15"/>
        <v>0</v>
      </c>
      <c r="Z43" s="731">
        <f t="shared" si="15"/>
        <v>0</v>
      </c>
      <c r="AA43" s="731">
        <f t="shared" si="15"/>
        <v>0</v>
      </c>
      <c r="AB43" s="731">
        <f t="shared" si="15"/>
        <v>0</v>
      </c>
      <c r="AC43" s="731">
        <f t="shared" si="15"/>
        <v>0</v>
      </c>
      <c r="AD43" s="731">
        <f t="shared" si="15"/>
        <v>0</v>
      </c>
      <c r="AE43" s="731">
        <f t="shared" si="15"/>
        <v>0</v>
      </c>
      <c r="AF43" s="731">
        <f t="shared" si="15"/>
        <v>0</v>
      </c>
      <c r="AG43" s="731">
        <f t="shared" si="15"/>
        <v>0</v>
      </c>
      <c r="AH43" s="731">
        <f t="shared" si="15"/>
        <v>0</v>
      </c>
      <c r="AI43" s="731">
        <f t="shared" si="14"/>
        <v>0</v>
      </c>
    </row>
    <row r="44" spans="1:35" ht="12.75" x14ac:dyDescent="0.2">
      <c r="A44" s="42" t="str">
        <f t="shared" si="12"/>
        <v>6.3. Aizņēmumi</v>
      </c>
      <c r="B44" s="709">
        <f t="shared" si="12"/>
        <v>0</v>
      </c>
      <c r="C44" s="731">
        <f t="shared" si="12"/>
        <v>50000</v>
      </c>
      <c r="D44" s="731">
        <f t="shared" ref="D44:AH44" si="16">D20</f>
        <v>0</v>
      </c>
      <c r="E44" s="731">
        <f t="shared" si="16"/>
        <v>0</v>
      </c>
      <c r="F44" s="731">
        <f t="shared" si="16"/>
        <v>0</v>
      </c>
      <c r="G44" s="731">
        <f t="shared" si="16"/>
        <v>0</v>
      </c>
      <c r="H44" s="731">
        <f t="shared" si="16"/>
        <v>0</v>
      </c>
      <c r="I44" s="731">
        <f t="shared" si="16"/>
        <v>0</v>
      </c>
      <c r="J44" s="731">
        <f t="shared" si="16"/>
        <v>0</v>
      </c>
      <c r="K44" s="731">
        <f t="shared" si="16"/>
        <v>0</v>
      </c>
      <c r="L44" s="731">
        <f t="shared" si="16"/>
        <v>0</v>
      </c>
      <c r="M44" s="731">
        <f t="shared" si="16"/>
        <v>0</v>
      </c>
      <c r="N44" s="731">
        <f t="shared" si="16"/>
        <v>0</v>
      </c>
      <c r="O44" s="731">
        <f t="shared" si="16"/>
        <v>0</v>
      </c>
      <c r="P44" s="731">
        <f t="shared" si="16"/>
        <v>0</v>
      </c>
      <c r="Q44" s="731">
        <f t="shared" si="16"/>
        <v>0</v>
      </c>
      <c r="R44" s="731">
        <f t="shared" si="16"/>
        <v>0</v>
      </c>
      <c r="S44" s="731">
        <f t="shared" si="16"/>
        <v>0</v>
      </c>
      <c r="T44" s="731">
        <f t="shared" si="16"/>
        <v>0</v>
      </c>
      <c r="U44" s="731">
        <f t="shared" si="16"/>
        <v>0</v>
      </c>
      <c r="V44" s="731">
        <f t="shared" si="16"/>
        <v>0</v>
      </c>
      <c r="W44" s="731">
        <f t="shared" si="16"/>
        <v>0</v>
      </c>
      <c r="X44" s="731">
        <f t="shared" si="16"/>
        <v>0</v>
      </c>
      <c r="Y44" s="731">
        <f t="shared" si="16"/>
        <v>0</v>
      </c>
      <c r="Z44" s="731">
        <f t="shared" si="16"/>
        <v>0</v>
      </c>
      <c r="AA44" s="731">
        <f t="shared" si="16"/>
        <v>0</v>
      </c>
      <c r="AB44" s="731">
        <f t="shared" si="16"/>
        <v>0</v>
      </c>
      <c r="AC44" s="731">
        <f t="shared" si="16"/>
        <v>0</v>
      </c>
      <c r="AD44" s="731">
        <f t="shared" si="16"/>
        <v>0</v>
      </c>
      <c r="AE44" s="731">
        <f t="shared" si="16"/>
        <v>0</v>
      </c>
      <c r="AF44" s="731">
        <f t="shared" si="16"/>
        <v>0</v>
      </c>
      <c r="AG44" s="731">
        <f t="shared" si="16"/>
        <v>0</v>
      </c>
      <c r="AH44" s="731">
        <f t="shared" si="16"/>
        <v>0</v>
      </c>
      <c r="AI44" s="731">
        <f t="shared" si="14"/>
        <v>0</v>
      </c>
    </row>
    <row r="45" spans="1:35" ht="12.75" x14ac:dyDescent="0.2">
      <c r="A45" s="43" t="s">
        <v>407</v>
      </c>
      <c r="B45" s="709">
        <f>B21</f>
        <v>0</v>
      </c>
      <c r="C45" s="731">
        <f>C21</f>
        <v>0</v>
      </c>
      <c r="D45" s="710">
        <f t="shared" ref="D45:AH45" si="17">D21</f>
        <v>0</v>
      </c>
      <c r="E45" s="710">
        <f t="shared" si="17"/>
        <v>-5000</v>
      </c>
      <c r="F45" s="731">
        <f t="shared" si="17"/>
        <v>-5000</v>
      </c>
      <c r="G45" s="731">
        <f t="shared" si="17"/>
        <v>-5000</v>
      </c>
      <c r="H45" s="731">
        <f t="shared" si="17"/>
        <v>-5000</v>
      </c>
      <c r="I45" s="731">
        <f t="shared" si="17"/>
        <v>-5000</v>
      </c>
      <c r="J45" s="731">
        <f t="shared" si="17"/>
        <v>-5000</v>
      </c>
      <c r="K45" s="731">
        <f t="shared" si="17"/>
        <v>-5000</v>
      </c>
      <c r="L45" s="731">
        <f t="shared" si="17"/>
        <v>-5000</v>
      </c>
      <c r="M45" s="731">
        <f t="shared" si="17"/>
        <v>-5000</v>
      </c>
      <c r="N45" s="731">
        <f t="shared" si="17"/>
        <v>-5000</v>
      </c>
      <c r="O45" s="731">
        <f t="shared" si="17"/>
        <v>0</v>
      </c>
      <c r="P45" s="731">
        <f t="shared" si="17"/>
        <v>0</v>
      </c>
      <c r="Q45" s="731">
        <f t="shared" si="17"/>
        <v>0</v>
      </c>
      <c r="R45" s="731">
        <f t="shared" si="17"/>
        <v>0</v>
      </c>
      <c r="S45" s="731">
        <f t="shared" si="17"/>
        <v>0</v>
      </c>
      <c r="T45" s="731">
        <f t="shared" si="17"/>
        <v>0</v>
      </c>
      <c r="U45" s="731">
        <f t="shared" si="17"/>
        <v>0</v>
      </c>
      <c r="V45" s="731">
        <f t="shared" si="17"/>
        <v>0</v>
      </c>
      <c r="W45" s="731">
        <f t="shared" si="17"/>
        <v>0</v>
      </c>
      <c r="X45" s="731">
        <f t="shared" si="17"/>
        <v>0</v>
      </c>
      <c r="Y45" s="731">
        <f t="shared" si="17"/>
        <v>0</v>
      </c>
      <c r="Z45" s="731">
        <f t="shared" si="17"/>
        <v>0</v>
      </c>
      <c r="AA45" s="731">
        <f t="shared" si="17"/>
        <v>0</v>
      </c>
      <c r="AB45" s="731">
        <f t="shared" si="17"/>
        <v>0</v>
      </c>
      <c r="AC45" s="731">
        <f t="shared" si="17"/>
        <v>0</v>
      </c>
      <c r="AD45" s="731">
        <f t="shared" si="17"/>
        <v>0</v>
      </c>
      <c r="AE45" s="731">
        <f t="shared" si="17"/>
        <v>0</v>
      </c>
      <c r="AF45" s="731">
        <f t="shared" si="17"/>
        <v>0</v>
      </c>
      <c r="AG45" s="731">
        <f t="shared" si="17"/>
        <v>0</v>
      </c>
      <c r="AH45" s="731">
        <f t="shared" si="17"/>
        <v>0</v>
      </c>
      <c r="AI45" s="731">
        <f t="shared" si="14"/>
        <v>0</v>
      </c>
    </row>
    <row r="46" spans="1:35" ht="12.75" x14ac:dyDescent="0.2">
      <c r="A46" s="43" t="s">
        <v>63</v>
      </c>
      <c r="B46" s="711">
        <f t="shared" ref="B46:AH46" si="18">B41+B45</f>
        <v>0</v>
      </c>
      <c r="C46" s="711">
        <f t="shared" si="18"/>
        <v>69553.146632000004</v>
      </c>
      <c r="D46" s="711">
        <f t="shared" si="18"/>
        <v>17444.473956000002</v>
      </c>
      <c r="E46" s="711">
        <f t="shared" si="18"/>
        <v>-5000</v>
      </c>
      <c r="F46" s="711">
        <f t="shared" si="18"/>
        <v>-5000</v>
      </c>
      <c r="G46" s="711">
        <f t="shared" si="18"/>
        <v>-5000</v>
      </c>
      <c r="H46" s="711">
        <f t="shared" si="18"/>
        <v>-5000</v>
      </c>
      <c r="I46" s="711">
        <f t="shared" si="18"/>
        <v>-5000</v>
      </c>
      <c r="J46" s="711">
        <f t="shared" si="18"/>
        <v>-5000</v>
      </c>
      <c r="K46" s="711">
        <f t="shared" si="18"/>
        <v>-5000</v>
      </c>
      <c r="L46" s="711">
        <f t="shared" si="18"/>
        <v>-5000</v>
      </c>
      <c r="M46" s="711">
        <f t="shared" si="18"/>
        <v>-5000</v>
      </c>
      <c r="N46" s="711">
        <f t="shared" si="18"/>
        <v>-5000</v>
      </c>
      <c r="O46" s="711">
        <f t="shared" si="18"/>
        <v>0</v>
      </c>
      <c r="P46" s="711">
        <f t="shared" si="18"/>
        <v>0</v>
      </c>
      <c r="Q46" s="711">
        <f t="shared" si="18"/>
        <v>0</v>
      </c>
      <c r="R46" s="711">
        <f t="shared" si="18"/>
        <v>0</v>
      </c>
      <c r="S46" s="711">
        <f t="shared" si="18"/>
        <v>0</v>
      </c>
      <c r="T46" s="711">
        <f t="shared" si="18"/>
        <v>0</v>
      </c>
      <c r="U46" s="711">
        <f t="shared" si="18"/>
        <v>0</v>
      </c>
      <c r="V46" s="711">
        <f t="shared" si="18"/>
        <v>0</v>
      </c>
      <c r="W46" s="711">
        <f t="shared" si="18"/>
        <v>0</v>
      </c>
      <c r="X46" s="711">
        <f t="shared" si="18"/>
        <v>0</v>
      </c>
      <c r="Y46" s="711">
        <f t="shared" si="18"/>
        <v>0</v>
      </c>
      <c r="Z46" s="711">
        <f t="shared" si="18"/>
        <v>0</v>
      </c>
      <c r="AA46" s="711">
        <f t="shared" si="18"/>
        <v>0</v>
      </c>
      <c r="AB46" s="711">
        <f t="shared" si="18"/>
        <v>0</v>
      </c>
      <c r="AC46" s="711">
        <f t="shared" si="18"/>
        <v>0</v>
      </c>
      <c r="AD46" s="711">
        <f t="shared" si="18"/>
        <v>0</v>
      </c>
      <c r="AE46" s="711">
        <f t="shared" si="18"/>
        <v>0</v>
      </c>
      <c r="AF46" s="711">
        <f t="shared" si="18"/>
        <v>0</v>
      </c>
      <c r="AG46" s="711">
        <f t="shared" si="18"/>
        <v>0</v>
      </c>
      <c r="AH46" s="711">
        <f t="shared" si="18"/>
        <v>0</v>
      </c>
      <c r="AI46" s="711">
        <f>AI41+AI45</f>
        <v>0</v>
      </c>
    </row>
    <row r="47" spans="1:35" ht="12.75" x14ac:dyDescent="0.2">
      <c r="A47" s="43" t="s">
        <v>249</v>
      </c>
      <c r="B47" s="711">
        <v>0</v>
      </c>
      <c r="C47" s="711">
        <f>C23</f>
        <v>50000</v>
      </c>
      <c r="D47" s="711">
        <f t="shared" ref="D47:AI47" si="19">D23</f>
        <v>0</v>
      </c>
      <c r="E47" s="711">
        <f t="shared" si="19"/>
        <v>0</v>
      </c>
      <c r="F47" s="711">
        <f t="shared" si="19"/>
        <v>0</v>
      </c>
      <c r="G47" s="711">
        <f t="shared" si="19"/>
        <v>0</v>
      </c>
      <c r="H47" s="711">
        <f t="shared" si="19"/>
        <v>0</v>
      </c>
      <c r="I47" s="711">
        <f t="shared" si="19"/>
        <v>0</v>
      </c>
      <c r="J47" s="711">
        <f t="shared" si="19"/>
        <v>0</v>
      </c>
      <c r="K47" s="711">
        <f t="shared" si="19"/>
        <v>0</v>
      </c>
      <c r="L47" s="711">
        <f t="shared" si="19"/>
        <v>0</v>
      </c>
      <c r="M47" s="711">
        <f t="shared" si="19"/>
        <v>0</v>
      </c>
      <c r="N47" s="711">
        <f t="shared" si="19"/>
        <v>0</v>
      </c>
      <c r="O47" s="711">
        <f t="shared" si="19"/>
        <v>0</v>
      </c>
      <c r="P47" s="711">
        <f t="shared" si="19"/>
        <v>0</v>
      </c>
      <c r="Q47" s="711">
        <f t="shared" si="19"/>
        <v>0</v>
      </c>
      <c r="R47" s="711">
        <f t="shared" si="19"/>
        <v>0</v>
      </c>
      <c r="S47" s="711">
        <f t="shared" si="19"/>
        <v>0</v>
      </c>
      <c r="T47" s="711">
        <f t="shared" si="19"/>
        <v>0</v>
      </c>
      <c r="U47" s="711">
        <f t="shared" si="19"/>
        <v>0</v>
      </c>
      <c r="V47" s="711">
        <f t="shared" si="19"/>
        <v>0</v>
      </c>
      <c r="W47" s="711">
        <f t="shared" si="19"/>
        <v>0</v>
      </c>
      <c r="X47" s="711">
        <f t="shared" si="19"/>
        <v>0</v>
      </c>
      <c r="Y47" s="711">
        <f t="shared" si="19"/>
        <v>0</v>
      </c>
      <c r="Z47" s="711">
        <f t="shared" si="19"/>
        <v>0</v>
      </c>
      <c r="AA47" s="711">
        <f t="shared" si="19"/>
        <v>0</v>
      </c>
      <c r="AB47" s="711">
        <f t="shared" si="19"/>
        <v>0</v>
      </c>
      <c r="AC47" s="711">
        <f t="shared" si="19"/>
        <v>0</v>
      </c>
      <c r="AD47" s="711">
        <f t="shared" si="19"/>
        <v>0</v>
      </c>
      <c r="AE47" s="711">
        <f t="shared" si="19"/>
        <v>0</v>
      </c>
      <c r="AF47" s="711">
        <f t="shared" si="19"/>
        <v>0</v>
      </c>
      <c r="AG47" s="711">
        <f t="shared" si="19"/>
        <v>0</v>
      </c>
      <c r="AH47" s="711">
        <f t="shared" si="19"/>
        <v>0</v>
      </c>
      <c r="AI47" s="711">
        <f t="shared" si="19"/>
        <v>0</v>
      </c>
    </row>
    <row r="48" spans="1:35" ht="25.5" x14ac:dyDescent="0.2">
      <c r="A48" s="44" t="s">
        <v>64</v>
      </c>
      <c r="B48" s="711">
        <f t="shared" ref="B48:AH48" si="20">SUM(B36,B39,B46,B47)</f>
        <v>0</v>
      </c>
      <c r="C48" s="711">
        <f t="shared" si="20"/>
        <v>-127031.85336800001</v>
      </c>
      <c r="D48" s="711">
        <f t="shared" si="20"/>
        <v>-7959.2692440000319</v>
      </c>
      <c r="E48" s="711">
        <f t="shared" si="20"/>
        <v>13683.791199999989</v>
      </c>
      <c r="F48" s="711">
        <f t="shared" si="20"/>
        <v>8932.3742999999413</v>
      </c>
      <c r="G48" s="711">
        <f t="shared" si="20"/>
        <v>10204.972499999954</v>
      </c>
      <c r="H48" s="711">
        <f t="shared" si="20"/>
        <v>11548.713800000056</v>
      </c>
      <c r="I48" s="711">
        <f t="shared" si="20"/>
        <v>9773.7328999999663</v>
      </c>
      <c r="J48" s="711">
        <f t="shared" si="20"/>
        <v>8069.9050999998908</v>
      </c>
      <c r="K48" s="711">
        <f t="shared" si="20"/>
        <v>12390.07240000007</v>
      </c>
      <c r="L48" s="711">
        <f t="shared" si="20"/>
        <v>11339.772600000075</v>
      </c>
      <c r="M48" s="711">
        <f t="shared" si="20"/>
        <v>10549.043699999924</v>
      </c>
      <c r="N48" s="711">
        <f t="shared" si="20"/>
        <v>167.60880000002362</v>
      </c>
      <c r="O48" s="711">
        <f t="shared" si="20"/>
        <v>4000.0700999999945</v>
      </c>
      <c r="P48" s="711">
        <f t="shared" si="20"/>
        <v>1238.5222999999974</v>
      </c>
      <c r="Q48" s="711">
        <f t="shared" si="20"/>
        <v>4572.1427000000622</v>
      </c>
      <c r="R48" s="711">
        <f t="shared" si="20"/>
        <v>-1496.5451000000494</v>
      </c>
      <c r="S48" s="711">
        <f t="shared" si="20"/>
        <v>1837.0653000000061</v>
      </c>
      <c r="T48" s="711">
        <f t="shared" si="20"/>
        <v>-924.47250000001668</v>
      </c>
      <c r="U48" s="711">
        <f t="shared" si="20"/>
        <v>2409.1378999999288</v>
      </c>
      <c r="V48" s="711">
        <f t="shared" si="20"/>
        <v>-21.69590000010021</v>
      </c>
      <c r="W48" s="711">
        <f t="shared" si="20"/>
        <v>3311.9244999999573</v>
      </c>
      <c r="X48" s="711">
        <f t="shared" si="20"/>
        <v>550.37670000007643</v>
      </c>
      <c r="Y48" s="711">
        <f t="shared" si="20"/>
        <v>576.84709999999723</v>
      </c>
      <c r="Z48" s="711">
        <f t="shared" si="20"/>
        <v>862.88839999997731</v>
      </c>
      <c r="AA48" s="711">
        <f t="shared" si="20"/>
        <v>1148.9197000000574</v>
      </c>
      <c r="AB48" s="711">
        <f t="shared" si="20"/>
        <v>2088.4989999998916</v>
      </c>
      <c r="AC48" s="711">
        <f t="shared" si="20"/>
        <v>51.632299999821043</v>
      </c>
      <c r="AD48" s="711">
        <f t="shared" si="20"/>
        <v>991.20160000000897</v>
      </c>
      <c r="AE48" s="711">
        <f t="shared" si="20"/>
        <v>1930.7809000001171</v>
      </c>
      <c r="AF48" s="711">
        <f t="shared" si="20"/>
        <v>1430.2553000001335</v>
      </c>
      <c r="AG48" s="711">
        <f t="shared" si="20"/>
        <v>599.01570000019547</v>
      </c>
      <c r="AH48" s="711">
        <f t="shared" si="20"/>
        <v>98.49009999986265</v>
      </c>
      <c r="AI48" s="711">
        <f>SUM(AI36,AI39,AI46,AI47)</f>
        <v>-732.73950000001059</v>
      </c>
    </row>
    <row r="49" spans="1:35" ht="25.5" x14ac:dyDescent="0.2">
      <c r="A49" s="44" t="s">
        <v>65</v>
      </c>
      <c r="B49" s="711">
        <f>B48</f>
        <v>0</v>
      </c>
      <c r="C49" s="711">
        <f>C48+B49</f>
        <v>-127031.85336800001</v>
      </c>
      <c r="D49" s="711">
        <f t="shared" ref="D49:AH49" si="21">D48+C49</f>
        <v>-134991.12261200004</v>
      </c>
      <c r="E49" s="711">
        <f t="shared" si="21"/>
        <v>-121307.33141200004</v>
      </c>
      <c r="F49" s="711">
        <f t="shared" si="21"/>
        <v>-112374.95711200011</v>
      </c>
      <c r="G49" s="711">
        <f t="shared" si="21"/>
        <v>-102169.98461200015</v>
      </c>
      <c r="H49" s="711">
        <f t="shared" si="21"/>
        <v>-90621.27081200009</v>
      </c>
      <c r="I49" s="711">
        <f t="shared" si="21"/>
        <v>-80847.537912000116</v>
      </c>
      <c r="J49" s="711">
        <f t="shared" si="21"/>
        <v>-72777.632812000229</v>
      </c>
      <c r="K49" s="711">
        <f t="shared" si="21"/>
        <v>-60387.560412000159</v>
      </c>
      <c r="L49" s="711">
        <f t="shared" si="21"/>
        <v>-49047.787812000082</v>
      </c>
      <c r="M49" s="711">
        <f t="shared" si="21"/>
        <v>-38498.74411200016</v>
      </c>
      <c r="N49" s="711">
        <f t="shared" si="21"/>
        <v>-38331.135312000137</v>
      </c>
      <c r="O49" s="711">
        <f t="shared" si="21"/>
        <v>-34331.06521200014</v>
      </c>
      <c r="P49" s="711">
        <f t="shared" si="21"/>
        <v>-33092.542912000143</v>
      </c>
      <c r="Q49" s="711">
        <f t="shared" si="21"/>
        <v>-28520.400212000081</v>
      </c>
      <c r="R49" s="711">
        <f t="shared" si="21"/>
        <v>-30016.945312000131</v>
      </c>
      <c r="S49" s="711">
        <f t="shared" si="21"/>
        <v>-28179.880012000125</v>
      </c>
      <c r="T49" s="711">
        <f t="shared" si="21"/>
        <v>-29104.352512000143</v>
      </c>
      <c r="U49" s="711">
        <f t="shared" si="21"/>
        <v>-26695.214612000214</v>
      </c>
      <c r="V49" s="711">
        <f t="shared" si="21"/>
        <v>-26716.910512000315</v>
      </c>
      <c r="W49" s="711">
        <f t="shared" si="21"/>
        <v>-23404.986012000358</v>
      </c>
      <c r="X49" s="711">
        <f t="shared" si="21"/>
        <v>-22854.609312000281</v>
      </c>
      <c r="Y49" s="711">
        <f t="shared" si="21"/>
        <v>-22277.762212000285</v>
      </c>
      <c r="Z49" s="711">
        <f t="shared" si="21"/>
        <v>-21414.873812000307</v>
      </c>
      <c r="AA49" s="711">
        <f t="shared" si="21"/>
        <v>-20265.95411200025</v>
      </c>
      <c r="AB49" s="711">
        <f t="shared" si="21"/>
        <v>-18177.45511200036</v>
      </c>
      <c r="AC49" s="711">
        <f t="shared" si="21"/>
        <v>-18125.822812000537</v>
      </c>
      <c r="AD49" s="711">
        <f t="shared" si="21"/>
        <v>-17134.621212000529</v>
      </c>
      <c r="AE49" s="711">
        <f t="shared" si="21"/>
        <v>-15203.840312000411</v>
      </c>
      <c r="AF49" s="711">
        <f t="shared" si="21"/>
        <v>-13773.585012000278</v>
      </c>
      <c r="AG49" s="711">
        <f t="shared" si="21"/>
        <v>-13174.569312000083</v>
      </c>
      <c r="AH49" s="711">
        <f t="shared" si="21"/>
        <v>-13076.079212000221</v>
      </c>
      <c r="AI49" s="711">
        <f>AI48+AH49</f>
        <v>-13808.818712000231</v>
      </c>
    </row>
    <row r="51" spans="1:35" ht="36" x14ac:dyDescent="0.2">
      <c r="A51" s="50" t="s">
        <v>658</v>
      </c>
      <c r="B51" s="876">
        <f>'Datu ievade'!B14:G14</f>
        <v>2020</v>
      </c>
      <c r="C51" s="876">
        <f>B51+1</f>
        <v>2021</v>
      </c>
      <c r="D51" s="876">
        <f>C51+1</f>
        <v>2022</v>
      </c>
      <c r="E51" s="876">
        <f t="shared" ref="E51:AE51" si="22">D51+1</f>
        <v>2023</v>
      </c>
      <c r="F51" s="876">
        <f t="shared" si="22"/>
        <v>2024</v>
      </c>
      <c r="G51" s="876">
        <f t="shared" si="22"/>
        <v>2025</v>
      </c>
      <c r="H51" s="876">
        <f t="shared" si="22"/>
        <v>2026</v>
      </c>
      <c r="I51" s="876">
        <f t="shared" si="22"/>
        <v>2027</v>
      </c>
      <c r="J51" s="876">
        <f t="shared" si="22"/>
        <v>2028</v>
      </c>
      <c r="K51" s="876">
        <f t="shared" si="22"/>
        <v>2029</v>
      </c>
      <c r="L51" s="876">
        <f t="shared" si="22"/>
        <v>2030</v>
      </c>
      <c r="M51" s="876">
        <f t="shared" si="22"/>
        <v>2031</v>
      </c>
      <c r="N51" s="876">
        <f t="shared" si="22"/>
        <v>2032</v>
      </c>
      <c r="O51" s="876">
        <f t="shared" si="22"/>
        <v>2033</v>
      </c>
      <c r="P51" s="876">
        <f t="shared" si="22"/>
        <v>2034</v>
      </c>
      <c r="Q51" s="876">
        <f t="shared" si="22"/>
        <v>2035</v>
      </c>
      <c r="R51" s="876">
        <f t="shared" si="22"/>
        <v>2036</v>
      </c>
      <c r="S51" s="876">
        <f t="shared" si="22"/>
        <v>2037</v>
      </c>
      <c r="T51" s="876">
        <f t="shared" si="22"/>
        <v>2038</v>
      </c>
      <c r="U51" s="876">
        <f t="shared" si="22"/>
        <v>2039</v>
      </c>
      <c r="V51" s="876">
        <f t="shared" si="22"/>
        <v>2040</v>
      </c>
      <c r="W51" s="876">
        <f t="shared" si="22"/>
        <v>2041</v>
      </c>
      <c r="X51" s="876">
        <f t="shared" si="22"/>
        <v>2042</v>
      </c>
      <c r="Y51" s="876">
        <f t="shared" si="22"/>
        <v>2043</v>
      </c>
      <c r="Z51" s="876">
        <f t="shared" si="22"/>
        <v>2044</v>
      </c>
      <c r="AA51" s="876">
        <f t="shared" si="22"/>
        <v>2045</v>
      </c>
      <c r="AB51" s="876">
        <f t="shared" si="22"/>
        <v>2046</v>
      </c>
      <c r="AC51" s="876">
        <f t="shared" si="22"/>
        <v>2047</v>
      </c>
      <c r="AD51" s="876">
        <f t="shared" si="22"/>
        <v>2048</v>
      </c>
      <c r="AE51" s="876">
        <f t="shared" si="22"/>
        <v>2049</v>
      </c>
      <c r="AF51" s="876">
        <f t="shared" ref="AF51" si="23">AE51+1</f>
        <v>2050</v>
      </c>
      <c r="AG51" s="876">
        <f t="shared" ref="AG51" si="24">AF51+1</f>
        <v>2051</v>
      </c>
      <c r="AH51" s="881">
        <f t="shared" ref="AH51" si="25">AG51+1</f>
        <v>2052</v>
      </c>
      <c r="AI51" s="885"/>
    </row>
    <row r="52" spans="1:35" ht="12.75" x14ac:dyDescent="0.2">
      <c r="A52" s="871" t="s">
        <v>630</v>
      </c>
      <c r="B52" s="877">
        <f>SUM(B53:B54)</f>
        <v>0</v>
      </c>
      <c r="C52" s="877">
        <f t="shared" ref="C52:AE52" si="26">SUM(C53:C54)</f>
        <v>27518.853999999908</v>
      </c>
      <c r="D52" s="877">
        <f t="shared" si="26"/>
        <v>35882.729999999967</v>
      </c>
      <c r="E52" s="877">
        <f t="shared" si="26"/>
        <v>30934.151999999951</v>
      </c>
      <c r="F52" s="877">
        <f t="shared" si="26"/>
        <v>32326.631999999987</v>
      </c>
      <c r="G52" s="877">
        <f t="shared" si="26"/>
        <v>33794.01</v>
      </c>
      <c r="H52" s="877">
        <f t="shared" si="26"/>
        <v>31978.512000000053</v>
      </c>
      <c r="I52" s="877">
        <f t="shared" si="26"/>
        <v>30237.911999999997</v>
      </c>
      <c r="J52" s="877">
        <f t="shared" si="26"/>
        <v>34838.369999999974</v>
      </c>
      <c r="K52" s="877">
        <f t="shared" si="26"/>
        <v>33794.010000000024</v>
      </c>
      <c r="L52" s="877">
        <f t="shared" si="26"/>
        <v>33022.872000000025</v>
      </c>
      <c r="M52" s="877">
        <f t="shared" si="26"/>
        <v>22156.254000000044</v>
      </c>
      <c r="N52" s="877">
        <f t="shared" si="26"/>
        <v>21111.893999999935</v>
      </c>
      <c r="O52" s="877">
        <f t="shared" si="26"/>
        <v>18600.155999999981</v>
      </c>
      <c r="P52" s="877">
        <f t="shared" si="26"/>
        <v>22504.37399999996</v>
      </c>
      <c r="Q52" s="877">
        <f t="shared" si="26"/>
        <v>16511.436000000009</v>
      </c>
      <c r="R52" s="877">
        <f t="shared" si="26"/>
        <v>20415.653999999988</v>
      </c>
      <c r="S52" s="877">
        <f t="shared" si="26"/>
        <v>17903.915999999997</v>
      </c>
      <c r="T52" s="877">
        <f t="shared" si="26"/>
        <v>21808.133999999984</v>
      </c>
      <c r="U52" s="877">
        <f t="shared" si="26"/>
        <v>19644.515999999996</v>
      </c>
      <c r="V52" s="877">
        <f t="shared" si="26"/>
        <v>23548.733999999968</v>
      </c>
      <c r="W52" s="877">
        <f t="shared" si="26"/>
        <v>21036.996000000014</v>
      </c>
      <c r="X52" s="877">
        <f t="shared" si="26"/>
        <v>21460.013999999974</v>
      </c>
      <c r="Y52" s="877">
        <f t="shared" si="26"/>
        <v>22156.253999999986</v>
      </c>
      <c r="Z52" s="877">
        <f t="shared" si="26"/>
        <v>22852.493999999992</v>
      </c>
      <c r="AA52" s="877">
        <f t="shared" si="26"/>
        <v>24244.973999999987</v>
      </c>
      <c r="AB52" s="877">
        <f t="shared" si="26"/>
        <v>22504.373999999982</v>
      </c>
      <c r="AC52" s="877">
        <f t="shared" si="26"/>
        <v>23896.853999999992</v>
      </c>
      <c r="AD52" s="877">
        <f t="shared" si="26"/>
        <v>25289.334000000032</v>
      </c>
      <c r="AE52" s="877">
        <f t="shared" si="26"/>
        <v>25289.333999999981</v>
      </c>
      <c r="AF52" s="877">
        <f t="shared" ref="AF52" si="27">SUM(AF53:AF54)</f>
        <v>24941.213999999978</v>
      </c>
      <c r="AG52" s="877">
        <f t="shared" ref="AG52" si="28">SUM(AG53:AG54)</f>
        <v>24941.213999999927</v>
      </c>
      <c r="AH52" s="882">
        <f t="shared" ref="AH52" si="29">SUM(AH53:AH54)</f>
        <v>24593.093999999983</v>
      </c>
      <c r="AI52" s="886"/>
    </row>
    <row r="53" spans="1:35" ht="12.75" x14ac:dyDescent="0.2">
      <c r="A53" s="872" t="s">
        <v>647</v>
      </c>
      <c r="B53" s="878">
        <f>'Saimnieciskas pamatdarbibas NP'!C154</f>
        <v>0</v>
      </c>
      <c r="C53" s="878">
        <f>'Saimnieciskas pamatdarbibas NP'!D154</f>
        <v>17969.379999999972</v>
      </c>
      <c r="D53" s="878">
        <f>'Saimnieciskas pamatdarbibas NP'!E154</f>
        <v>19842.839999999993</v>
      </c>
      <c r="E53" s="878">
        <f>'Saimnieciskas pamatdarbibas NP'!F154</f>
        <v>18102.239999999954</v>
      </c>
      <c r="F53" s="878">
        <f>'Saimnieciskas pamatdarbibas NP'!G154</f>
        <v>19494.71999999999</v>
      </c>
      <c r="G53" s="878">
        <f>'Saimnieciskas pamatdarbibas NP'!H154</f>
        <v>17754.119999999974</v>
      </c>
      <c r="H53" s="878">
        <f>'Saimnieciskas pamatdarbibas NP'!I154</f>
        <v>19146.600000000035</v>
      </c>
      <c r="I53" s="878">
        <f>'Saimnieciskas pamatdarbibas NP'!J154</f>
        <v>17406</v>
      </c>
      <c r="J53" s="878">
        <f>'Saimnieciskas pamatdarbibas NP'!K154</f>
        <v>18798.479999999974</v>
      </c>
      <c r="K53" s="878">
        <f>'Saimnieciskas pamatdarbibas NP'!L154</f>
        <v>17754.119999999988</v>
      </c>
      <c r="L53" s="878">
        <f>'Saimnieciskas pamatdarbibas NP'!M154</f>
        <v>20190.959999999992</v>
      </c>
      <c r="M53" s="878">
        <f>'Saimnieciskas pamatdarbibas NP'!N154</f>
        <v>12532.320000000029</v>
      </c>
      <c r="N53" s="878">
        <f>'Saimnieciskas pamatdarbibas NP'!O154</f>
        <v>11487.96</v>
      </c>
      <c r="O53" s="878">
        <f>'Saimnieciskas pamatdarbibas NP'!P154</f>
        <v>12184.199999999968</v>
      </c>
      <c r="P53" s="878">
        <f>'Saimnieciskas pamatdarbibas NP'!Q154</f>
        <v>12880.439999999966</v>
      </c>
      <c r="Q53" s="878">
        <f>'Saimnieciskas pamatdarbibas NP'!R154</f>
        <v>10095.479999999996</v>
      </c>
      <c r="R53" s="878">
        <f>'Saimnieciskas pamatdarbibas NP'!S154</f>
        <v>10791.719999999994</v>
      </c>
      <c r="S53" s="878">
        <f>'Saimnieciskas pamatdarbibas NP'!T154</f>
        <v>11487.959999999992</v>
      </c>
      <c r="T53" s="878">
        <f>'Saimnieciskas pamatdarbibas NP'!U154</f>
        <v>12184.19999999999</v>
      </c>
      <c r="U53" s="878">
        <f>'Saimnieciskas pamatdarbibas NP'!V154</f>
        <v>13228.559999999983</v>
      </c>
      <c r="V53" s="878">
        <f>'Saimnieciskas pamatdarbibas NP'!W154</f>
        <v>13924.799999999981</v>
      </c>
      <c r="W53" s="878">
        <f>'Saimnieciskas pamatdarbibas NP'!X154</f>
        <v>14621.04</v>
      </c>
      <c r="X53" s="878">
        <f>'Saimnieciskas pamatdarbibas NP'!Y154</f>
        <v>11836.079999999994</v>
      </c>
      <c r="Y53" s="878">
        <f>'Saimnieciskas pamatdarbibas NP'!Z154</f>
        <v>12532.320000000007</v>
      </c>
      <c r="Z53" s="878">
        <f>'Saimnieciskas pamatdarbibas NP'!AA154</f>
        <v>13228.559999999998</v>
      </c>
      <c r="AA53" s="878">
        <f>'Saimnieciskas pamatdarbibas NP'!AB154</f>
        <v>14621.04</v>
      </c>
      <c r="AB53" s="878">
        <f>'Saimnieciskas pamatdarbibas NP'!AC154</f>
        <v>12880.439999999995</v>
      </c>
      <c r="AC53" s="878">
        <f>'Saimnieciskas pamatdarbibas NP'!AD154</f>
        <v>14272.920000000006</v>
      </c>
      <c r="AD53" s="878">
        <f>'Saimnieciskas pamatdarbibas NP'!AE154</f>
        <v>15665.39999999998</v>
      </c>
      <c r="AE53" s="878">
        <f>'Saimnieciskas pamatdarbibas NP'!AF154</f>
        <v>15665.399999999994</v>
      </c>
      <c r="AF53" s="878">
        <f>'Saimnieciskas pamatdarbibas NP'!AG154</f>
        <v>15317.279999999984</v>
      </c>
      <c r="AG53" s="878">
        <f>'Saimnieciskas pamatdarbibas NP'!AH154</f>
        <v>15317.280000000006</v>
      </c>
      <c r="AH53" s="883">
        <f>'Saimnieciskas pamatdarbibas NP'!AI154</f>
        <v>14969.160000000011</v>
      </c>
      <c r="AI53" s="887"/>
    </row>
    <row r="54" spans="1:35" ht="12.75" x14ac:dyDescent="0.2">
      <c r="A54" s="872" t="s">
        <v>648</v>
      </c>
      <c r="B54" s="878">
        <f>'Saimnieciskas pamatdarbibas NP'!C158</f>
        <v>0</v>
      </c>
      <c r="C54" s="878">
        <f>'Saimnieciskas pamatdarbibas NP'!D158</f>
        <v>9549.4739999999365</v>
      </c>
      <c r="D54" s="878">
        <f>'Saimnieciskas pamatdarbibas NP'!E158</f>
        <v>16039.88999999997</v>
      </c>
      <c r="E54" s="878">
        <f>'Saimnieciskas pamatdarbibas NP'!F158</f>
        <v>12831.911999999997</v>
      </c>
      <c r="F54" s="878">
        <f>'Saimnieciskas pamatdarbibas NP'!G158</f>
        <v>12831.911999999997</v>
      </c>
      <c r="G54" s="878">
        <f>'Saimnieciskas pamatdarbibas NP'!H158</f>
        <v>16039.890000000029</v>
      </c>
      <c r="H54" s="878">
        <f>'Saimnieciskas pamatdarbibas NP'!I158</f>
        <v>12831.912000000018</v>
      </c>
      <c r="I54" s="878">
        <f>'Saimnieciskas pamatdarbibas NP'!J158</f>
        <v>12831.911999999997</v>
      </c>
      <c r="J54" s="878">
        <f>'Saimnieciskas pamatdarbibas NP'!K158</f>
        <v>16039.89</v>
      </c>
      <c r="K54" s="878">
        <f>'Saimnieciskas pamatdarbibas NP'!L158</f>
        <v>16039.890000000036</v>
      </c>
      <c r="L54" s="878">
        <f>'Saimnieciskas pamatdarbibas NP'!M158</f>
        <v>12831.912000000033</v>
      </c>
      <c r="M54" s="878">
        <f>'Saimnieciskas pamatdarbibas NP'!N158</f>
        <v>9623.9340000000157</v>
      </c>
      <c r="N54" s="878">
        <f>'Saimnieciskas pamatdarbibas NP'!O158</f>
        <v>9623.9339999999356</v>
      </c>
      <c r="O54" s="878">
        <f>'Saimnieciskas pamatdarbibas NP'!P158</f>
        <v>6415.9560000000129</v>
      </c>
      <c r="P54" s="878">
        <f>'Saimnieciskas pamatdarbibas NP'!Q158</f>
        <v>9623.9339999999938</v>
      </c>
      <c r="Q54" s="878">
        <f>'Saimnieciskas pamatdarbibas NP'!R158</f>
        <v>6415.9560000000129</v>
      </c>
      <c r="R54" s="878">
        <f>'Saimnieciskas pamatdarbibas NP'!S158</f>
        <v>9623.9339999999938</v>
      </c>
      <c r="S54" s="878">
        <f>'Saimnieciskas pamatdarbibas NP'!T158</f>
        <v>6415.9560000000056</v>
      </c>
      <c r="T54" s="878">
        <f>'Saimnieciskas pamatdarbibas NP'!U158</f>
        <v>9623.9339999999938</v>
      </c>
      <c r="U54" s="878">
        <f>'Saimnieciskas pamatdarbibas NP'!V158</f>
        <v>6415.9560000000129</v>
      </c>
      <c r="V54" s="878">
        <f>'Saimnieciskas pamatdarbibas NP'!W158</f>
        <v>9623.9339999999866</v>
      </c>
      <c r="W54" s="878">
        <f>'Saimnieciskas pamatdarbibas NP'!X158</f>
        <v>6415.9560000000129</v>
      </c>
      <c r="X54" s="878">
        <f>'Saimnieciskas pamatdarbibas NP'!Y158</f>
        <v>9623.9339999999793</v>
      </c>
      <c r="Y54" s="878">
        <f>'Saimnieciskas pamatdarbibas NP'!Z158</f>
        <v>9623.9339999999793</v>
      </c>
      <c r="Z54" s="878">
        <f>'Saimnieciskas pamatdarbibas NP'!AA158</f>
        <v>9623.9339999999938</v>
      </c>
      <c r="AA54" s="878">
        <f>'Saimnieciskas pamatdarbibas NP'!AB158</f>
        <v>9623.9339999999866</v>
      </c>
      <c r="AB54" s="878">
        <f>'Saimnieciskas pamatdarbibas NP'!AC158</f>
        <v>9623.9339999999866</v>
      </c>
      <c r="AC54" s="878">
        <f>'Saimnieciskas pamatdarbibas NP'!AD158</f>
        <v>9623.9339999999866</v>
      </c>
      <c r="AD54" s="878">
        <f>'Saimnieciskas pamatdarbibas NP'!AE158</f>
        <v>9623.934000000052</v>
      </c>
      <c r="AE54" s="878">
        <f>'Saimnieciskas pamatdarbibas NP'!AF158</f>
        <v>9623.9339999999866</v>
      </c>
      <c r="AF54" s="878">
        <f>'Saimnieciskas pamatdarbibas NP'!AG158</f>
        <v>9623.9339999999938</v>
      </c>
      <c r="AG54" s="878">
        <f>'Saimnieciskas pamatdarbibas NP'!AH158</f>
        <v>9623.9339999999211</v>
      </c>
      <c r="AH54" s="883">
        <f>'Saimnieciskas pamatdarbibas NP'!AI158</f>
        <v>9623.933999999972</v>
      </c>
      <c r="AI54" s="887"/>
    </row>
    <row r="55" spans="1:35" ht="12.75" x14ac:dyDescent="0.2">
      <c r="A55" s="873" t="s">
        <v>633</v>
      </c>
      <c r="B55" s="879">
        <f t="shared" ref="B55:AE55" si="30">SUM(B56:B59)</f>
        <v>0</v>
      </c>
      <c r="C55" s="879">
        <f t="shared" si="30"/>
        <v>13146.654500000004</v>
      </c>
      <c r="D55" s="879">
        <f t="shared" si="30"/>
        <v>13404.802299999981</v>
      </c>
      <c r="E55" s="879">
        <f t="shared" si="30"/>
        <v>13655.070099999983</v>
      </c>
      <c r="F55" s="879">
        <f t="shared" si="30"/>
        <v>13905.327900000033</v>
      </c>
      <c r="G55" s="879">
        <f t="shared" si="30"/>
        <v>14155.595700000034</v>
      </c>
      <c r="H55" s="879">
        <f t="shared" si="30"/>
        <v>14405.853500000027</v>
      </c>
      <c r="I55" s="879">
        <f t="shared" si="30"/>
        <v>14656.111300000048</v>
      </c>
      <c r="J55" s="879">
        <f t="shared" si="30"/>
        <v>14906.379099999976</v>
      </c>
      <c r="K55" s="879">
        <f t="shared" si="30"/>
        <v>15164.536900000021</v>
      </c>
      <c r="L55" s="879">
        <f t="shared" si="30"/>
        <v>15422.684700000013</v>
      </c>
      <c r="M55" s="879">
        <f t="shared" si="30"/>
        <v>15680.832499999975</v>
      </c>
      <c r="N55" s="879">
        <f t="shared" si="30"/>
        <v>16056.229199999972</v>
      </c>
      <c r="O55" s="879">
        <f t="shared" si="30"/>
        <v>16431.625899999999</v>
      </c>
      <c r="P55" s="879">
        <f t="shared" si="30"/>
        <v>16807.012599999958</v>
      </c>
      <c r="Q55" s="879">
        <f t="shared" si="30"/>
        <v>17182.409299999985</v>
      </c>
      <c r="R55" s="879">
        <f t="shared" si="30"/>
        <v>17557.806000000011</v>
      </c>
      <c r="S55" s="879">
        <f t="shared" si="30"/>
        <v>17933.192700000058</v>
      </c>
      <c r="T55" s="879">
        <f t="shared" si="30"/>
        <v>18308.589400000026</v>
      </c>
      <c r="U55" s="879">
        <f t="shared" si="30"/>
        <v>18683.986100000009</v>
      </c>
      <c r="V55" s="879">
        <f t="shared" si="30"/>
        <v>19059.372800000012</v>
      </c>
      <c r="W55" s="879">
        <f t="shared" si="30"/>
        <v>19434.769499999951</v>
      </c>
      <c r="X55" s="879">
        <f t="shared" si="30"/>
        <v>19810.166199999949</v>
      </c>
      <c r="Y55" s="879">
        <f t="shared" si="30"/>
        <v>20185.552899999966</v>
      </c>
      <c r="Z55" s="879">
        <f t="shared" si="30"/>
        <v>20560.949599999978</v>
      </c>
      <c r="AA55" s="879">
        <f t="shared" si="30"/>
        <v>20944.226300000097</v>
      </c>
      <c r="AB55" s="879">
        <f t="shared" si="30"/>
        <v>21327.523000000074</v>
      </c>
      <c r="AC55" s="879">
        <f t="shared" si="30"/>
        <v>21710.809699999954</v>
      </c>
      <c r="AD55" s="879">
        <f t="shared" si="30"/>
        <v>22094.086399999884</v>
      </c>
      <c r="AE55" s="879">
        <f t="shared" si="30"/>
        <v>22594.611999999936</v>
      </c>
      <c r="AF55" s="879">
        <f t="shared" ref="AF55:AH55" si="31">SUM(AF56:AF59)</f>
        <v>23095.1375999999</v>
      </c>
      <c r="AG55" s="879">
        <f t="shared" si="31"/>
        <v>23595.66320000001</v>
      </c>
      <c r="AH55" s="884">
        <f t="shared" si="31"/>
        <v>24096.178799999994</v>
      </c>
      <c r="AI55" s="888"/>
    </row>
    <row r="56" spans="1:35" ht="12.75" x14ac:dyDescent="0.2">
      <c r="A56" s="872" t="s">
        <v>653</v>
      </c>
      <c r="B56" s="878">
        <f>'Saimnieciskas pamatdarbibas NP'!C141</f>
        <v>0</v>
      </c>
      <c r="C56" s="878">
        <f>'Saimnieciskas pamatdarbibas NP'!D141</f>
        <v>773.43000000000757</v>
      </c>
      <c r="D56" s="878">
        <f>'Saimnieciskas pamatdarbibas NP'!E141</f>
        <v>795.32000000000698</v>
      </c>
      <c r="E56" s="878">
        <f>'Saimnieciskas pamatdarbibas NP'!F141</f>
        <v>809.91000000000349</v>
      </c>
      <c r="F56" s="878">
        <f>'Saimnieciskas pamatdarbibas NP'!G141</f>
        <v>824.50000000001455</v>
      </c>
      <c r="G56" s="878">
        <f>'Saimnieciskas pamatdarbibas NP'!H141</f>
        <v>839.10000000002037</v>
      </c>
      <c r="H56" s="878">
        <f>'Saimnieciskas pamatdarbibas NP'!I141</f>
        <v>853.69000000000233</v>
      </c>
      <c r="I56" s="878">
        <f>'Saimnieciskas pamatdarbibas NP'!J141</f>
        <v>868.27999999999884</v>
      </c>
      <c r="J56" s="878">
        <f>'Saimnieciskas pamatdarbibas NP'!K141</f>
        <v>882.8799999999901</v>
      </c>
      <c r="K56" s="878">
        <f>'Saimnieciskas pamatdarbibas NP'!L141</f>
        <v>904.76999999998952</v>
      </c>
      <c r="L56" s="878">
        <f>'Saimnieciskas pamatdarbibas NP'!M141</f>
        <v>926.64999999999418</v>
      </c>
      <c r="M56" s="878">
        <f>'Saimnieciskas pamatdarbibas NP'!N141</f>
        <v>948.5399999999936</v>
      </c>
      <c r="N56" s="878">
        <f>'Saimnieciskas pamatdarbibas NP'!O141</f>
        <v>970.42999999999302</v>
      </c>
      <c r="O56" s="878">
        <f>'Saimnieciskas pamatdarbibas NP'!P141</f>
        <v>992.31999999999243</v>
      </c>
      <c r="P56" s="878">
        <f>'Saimnieciskas pamatdarbibas NP'!Q141</f>
        <v>1014.2100000000064</v>
      </c>
      <c r="Q56" s="878">
        <f>'Saimnieciskas pamatdarbibas NP'!R141</f>
        <v>1036.1000000000058</v>
      </c>
      <c r="R56" s="878">
        <f>'Saimnieciskas pamatdarbibas NP'!S141</f>
        <v>1057.9900000000052</v>
      </c>
      <c r="S56" s="878">
        <f>'Saimnieciskas pamatdarbibas NP'!T141</f>
        <v>1079.8800000000047</v>
      </c>
      <c r="T56" s="878">
        <f>'Saimnieciskas pamatdarbibas NP'!U141</f>
        <v>1101.7700000000186</v>
      </c>
      <c r="U56" s="878">
        <f>'Saimnieciskas pamatdarbibas NP'!V141</f>
        <v>1123.6600000000035</v>
      </c>
      <c r="V56" s="878">
        <f>'Saimnieciskas pamatdarbibas NP'!W141</f>
        <v>1145.5500000000029</v>
      </c>
      <c r="W56" s="878">
        <f>'Saimnieciskas pamatdarbibas NP'!X141</f>
        <v>1167.4399999999878</v>
      </c>
      <c r="X56" s="878">
        <f>'Saimnieciskas pamatdarbibas NP'!Y141</f>
        <v>1189.3300000000017</v>
      </c>
      <c r="Y56" s="878">
        <f>'Saimnieciskas pamatdarbibas NP'!Z141</f>
        <v>1211.2200000000012</v>
      </c>
      <c r="Z56" s="878">
        <f>'Saimnieciskas pamatdarbibas NP'!AA141</f>
        <v>1233.1100000000006</v>
      </c>
      <c r="AA56" s="878">
        <f>'Saimnieciskas pamatdarbibas NP'!AB141</f>
        <v>1262.2900000000081</v>
      </c>
      <c r="AB56" s="878">
        <f>'Saimnieciskas pamatdarbibas NP'!AC141</f>
        <v>1291.4800000000105</v>
      </c>
      <c r="AC56" s="878">
        <f>'Saimnieciskas pamatdarbibas NP'!AD141</f>
        <v>1320.6699999999837</v>
      </c>
      <c r="AD56" s="878">
        <f>'Saimnieciskas pamatdarbibas NP'!AE141</f>
        <v>1349.8499999999767</v>
      </c>
      <c r="AE56" s="878">
        <f>'Saimnieciskas pamatdarbibas NP'!AF141</f>
        <v>1379.0400000000081</v>
      </c>
      <c r="AF56" s="878">
        <f>'Saimnieciskas pamatdarbibas NP'!AG141</f>
        <v>1408.2200000000012</v>
      </c>
      <c r="AG56" s="878">
        <f>'Saimnieciskas pamatdarbibas NP'!AH141</f>
        <v>1437.4100000000035</v>
      </c>
      <c r="AH56" s="883">
        <f>'Saimnieciskas pamatdarbibas NP'!AI141</f>
        <v>1466.5899999999965</v>
      </c>
      <c r="AI56" s="887"/>
    </row>
    <row r="57" spans="1:35" ht="12.75" x14ac:dyDescent="0.2">
      <c r="A57" s="872" t="s">
        <v>652</v>
      </c>
      <c r="B57" s="878">
        <f>'Saimnieciskas pamatdarbibas NP'!C128</f>
        <v>0</v>
      </c>
      <c r="C57" s="878">
        <f>'Saimnieciskas pamatdarbibas NP'!D128</f>
        <v>7136.5139999999956</v>
      </c>
      <c r="D57" s="878">
        <f>'Saimnieciskas pamatdarbibas NP'!E128</f>
        <v>7272.4475999999559</v>
      </c>
      <c r="E57" s="878">
        <f>'Saimnieciskas pamatdarbibas NP'!F128</f>
        <v>7408.3812000000034</v>
      </c>
      <c r="F57" s="878">
        <f>'Saimnieciskas pamatdarbibas NP'!G128</f>
        <v>7544.3148000000219</v>
      </c>
      <c r="G57" s="878">
        <f>'Saimnieciskas pamatdarbibas NP'!H128</f>
        <v>7680.2484000000113</v>
      </c>
      <c r="H57" s="878">
        <f>'Saimnieciskas pamatdarbibas NP'!I128</f>
        <v>7816.1820000000298</v>
      </c>
      <c r="I57" s="878">
        <f>'Saimnieciskas pamatdarbibas NP'!J128</f>
        <v>7952.1155999999901</v>
      </c>
      <c r="J57" s="878">
        <f>'Saimnieciskas pamatdarbibas NP'!K128</f>
        <v>8088.0492000000086</v>
      </c>
      <c r="K57" s="878">
        <f>'Saimnieciskas pamatdarbibas NP'!L128</f>
        <v>8223.982799999998</v>
      </c>
      <c r="L57" s="878">
        <f>'Saimnieciskas pamatdarbibas NP'!M128</f>
        <v>8359.9164000000164</v>
      </c>
      <c r="M57" s="878">
        <f>'Saimnieciskas pamatdarbibas NP'!N128</f>
        <v>8495.8500000000058</v>
      </c>
      <c r="N57" s="878">
        <f>'Saimnieciskas pamatdarbibas NP'!O128</f>
        <v>8699.7503999999899</v>
      </c>
      <c r="O57" s="878">
        <f>'Saimnieciskas pamatdarbibas NP'!P128</f>
        <v>8903.6508000000031</v>
      </c>
      <c r="P57" s="878">
        <f>'Saimnieciskas pamatdarbibas NP'!Q128</f>
        <v>9107.5511999999871</v>
      </c>
      <c r="Q57" s="878">
        <f>'Saimnieciskas pamatdarbibas NP'!R128</f>
        <v>9311.4516000000003</v>
      </c>
      <c r="R57" s="878">
        <f>'Saimnieciskas pamatdarbibas NP'!S128</f>
        <v>9515.3519999999844</v>
      </c>
      <c r="S57" s="878">
        <f>'Saimnieciskas pamatdarbibas NP'!T128</f>
        <v>9719.2524000000267</v>
      </c>
      <c r="T57" s="878">
        <f>'Saimnieciskas pamatdarbibas NP'!U128</f>
        <v>9923.1528000000108</v>
      </c>
      <c r="U57" s="878">
        <f>'Saimnieciskas pamatdarbibas NP'!V128</f>
        <v>10127.053200000024</v>
      </c>
      <c r="V57" s="878">
        <f>'Saimnieciskas pamatdarbibas NP'!W128</f>
        <v>10330.953600000008</v>
      </c>
      <c r="W57" s="878">
        <f>'Saimnieciskas pamatdarbibas NP'!X128</f>
        <v>10534.853999999963</v>
      </c>
      <c r="X57" s="878">
        <f>'Saimnieciskas pamatdarbibas NP'!Y128</f>
        <v>10738.754399999976</v>
      </c>
      <c r="Y57" s="878">
        <f>'Saimnieciskas pamatdarbibas NP'!Z128</f>
        <v>10942.654799999989</v>
      </c>
      <c r="Z57" s="878">
        <f>'Saimnieciskas pamatdarbibas NP'!AA128</f>
        <v>11146.555200000003</v>
      </c>
      <c r="AA57" s="878">
        <f>'Saimnieciskas pamatdarbibas NP'!AB128</f>
        <v>11350.455600000045</v>
      </c>
      <c r="AB57" s="878">
        <f>'Saimnieciskas pamatdarbibas NP'!AC128</f>
        <v>11554.356000000029</v>
      </c>
      <c r="AC57" s="878">
        <f>'Saimnieciskas pamatdarbibas NP'!AD128</f>
        <v>11758.256400000013</v>
      </c>
      <c r="AD57" s="878">
        <f>'Saimnieciskas pamatdarbibas NP'!AE128</f>
        <v>11962.156799999939</v>
      </c>
      <c r="AE57" s="878">
        <f>'Saimnieciskas pamatdarbibas NP'!AF128</f>
        <v>12234.023999999976</v>
      </c>
      <c r="AF57" s="878">
        <f>'Saimnieciskas pamatdarbibas NP'!AG128</f>
        <v>12505.891199999955</v>
      </c>
      <c r="AG57" s="878">
        <f>'Saimnieciskas pamatdarbibas NP'!AH128</f>
        <v>12777.758399999992</v>
      </c>
      <c r="AH57" s="883">
        <f>'Saimnieciskas pamatdarbibas NP'!AI128</f>
        <v>13049.62559999997</v>
      </c>
      <c r="AI57" s="887"/>
    </row>
    <row r="58" spans="1:35" ht="12.75" x14ac:dyDescent="0.2">
      <c r="A58" s="872" t="s">
        <v>654</v>
      </c>
      <c r="B58" s="878">
        <f>'Saimnieciskas pamatdarbibas NP'!C145</f>
        <v>0</v>
      </c>
      <c r="C58" s="878">
        <f>'Saimnieciskas pamatdarbibas NP'!D145</f>
        <v>63.139999999999418</v>
      </c>
      <c r="D58" s="878">
        <f>'Saimnieciskas pamatdarbibas NP'!E145</f>
        <v>64.920000000012806</v>
      </c>
      <c r="E58" s="878">
        <f>'Saimnieciskas pamatdarbibas NP'!F145</f>
        <v>66.119999999995343</v>
      </c>
      <c r="F58" s="878">
        <f>'Saimnieciskas pamatdarbibas NP'!G145</f>
        <v>67.310000000012224</v>
      </c>
      <c r="G58" s="878">
        <f>'Saimnieciskas pamatdarbibas NP'!H145</f>
        <v>68.500000000014552</v>
      </c>
      <c r="H58" s="878">
        <f>'Saimnieciskas pamatdarbibas NP'!I145</f>
        <v>69.690000000002328</v>
      </c>
      <c r="I58" s="878">
        <f>'Saimnieciskas pamatdarbibas NP'!J145</f>
        <v>70.880000000004657</v>
      </c>
      <c r="J58" s="878">
        <f>'Saimnieciskas pamatdarbibas NP'!K145</f>
        <v>72.070000000006985</v>
      </c>
      <c r="K58" s="878">
        <f>'Saimnieciskas pamatdarbibas NP'!L145</f>
        <v>73.860000000000582</v>
      </c>
      <c r="L58" s="878">
        <f>'Saimnieciskas pamatdarbibas NP'!M145</f>
        <v>75.649999999994179</v>
      </c>
      <c r="M58" s="878">
        <f>'Saimnieciskas pamatdarbibas NP'!N145</f>
        <v>77.429999999993015</v>
      </c>
      <c r="N58" s="878">
        <f>'Saimnieciskas pamatdarbibas NP'!O145</f>
        <v>79.220000000001164</v>
      </c>
      <c r="O58" s="878">
        <f>'Saimnieciskas pamatdarbibas NP'!P145</f>
        <v>81.010000000009313</v>
      </c>
      <c r="P58" s="878">
        <f>'Saimnieciskas pamatdarbibas NP'!Q145</f>
        <v>82.789999999993597</v>
      </c>
      <c r="Q58" s="878">
        <f>'Saimnieciskas pamatdarbibas NP'!R145</f>
        <v>84.580000000001746</v>
      </c>
      <c r="R58" s="878">
        <f>'Saimnieciskas pamatdarbibas NP'!S145</f>
        <v>86.370000000009895</v>
      </c>
      <c r="S58" s="878">
        <f>'Saimnieciskas pamatdarbibas NP'!T145</f>
        <v>88.150000000008731</v>
      </c>
      <c r="T58" s="878">
        <f>'Saimnieciskas pamatdarbibas NP'!U145</f>
        <v>89.940000000002328</v>
      </c>
      <c r="U58" s="878">
        <f>'Saimnieciskas pamatdarbibas NP'!V145</f>
        <v>91.730000000010477</v>
      </c>
      <c r="V58" s="878">
        <f>'Saimnieciskas pamatdarbibas NP'!W145</f>
        <v>93.509999999994761</v>
      </c>
      <c r="W58" s="878">
        <f>'Saimnieciskas pamatdarbibas NP'!X145</f>
        <v>95.299999999988358</v>
      </c>
      <c r="X58" s="878">
        <f>'Saimnieciskas pamatdarbibas NP'!Y145</f>
        <v>97.090000000011059</v>
      </c>
      <c r="Y58" s="878">
        <f>'Saimnieciskas pamatdarbibas NP'!Z145</f>
        <v>98.870000000009895</v>
      </c>
      <c r="Z58" s="878">
        <f>'Saimnieciskas pamatdarbibas NP'!AA145</f>
        <v>100.66000000000349</v>
      </c>
      <c r="AA58" s="878">
        <f>'Saimnieciskas pamatdarbibas NP'!AB145</f>
        <v>103.04000000000815</v>
      </c>
      <c r="AB58" s="878">
        <f>'Saimnieciskas pamatdarbibas NP'!AC145</f>
        <v>105.42999999999302</v>
      </c>
      <c r="AC58" s="878">
        <f>'Saimnieciskas pamatdarbibas NP'!AD145</f>
        <v>107.80999999996857</v>
      </c>
      <c r="AD58" s="878">
        <f>'Saimnieciskas pamatdarbibas NP'!AE145</f>
        <v>110.18999999997322</v>
      </c>
      <c r="AE58" s="878">
        <f>'Saimnieciskas pamatdarbibas NP'!AF145</f>
        <v>112.57000000000698</v>
      </c>
      <c r="AF58" s="878">
        <f>'Saimnieciskas pamatdarbibas NP'!AG145</f>
        <v>114.95999999999185</v>
      </c>
      <c r="AG58" s="878">
        <f>'Saimnieciskas pamatdarbibas NP'!AH145</f>
        <v>117.33999999999651</v>
      </c>
      <c r="AH58" s="883">
        <f>'Saimnieciskas pamatdarbibas NP'!AI145</f>
        <v>119.72000000000116</v>
      </c>
      <c r="AI58" s="887"/>
    </row>
    <row r="59" spans="1:35" ht="12.75" x14ac:dyDescent="0.2">
      <c r="A59" s="872" t="s">
        <v>655</v>
      </c>
      <c r="B59" s="878">
        <f>'Saimnieciskas pamatdarbibas NP'!C134</f>
        <v>0</v>
      </c>
      <c r="C59" s="878">
        <f>'Saimnieciskas pamatdarbibas NP'!D134</f>
        <v>5173.5705000000016</v>
      </c>
      <c r="D59" s="878">
        <f>'Saimnieciskas pamatdarbibas NP'!E134</f>
        <v>5272.1147000000055</v>
      </c>
      <c r="E59" s="878">
        <f>'Saimnieciskas pamatdarbibas NP'!F134</f>
        <v>5370.6588999999803</v>
      </c>
      <c r="F59" s="878">
        <f>'Saimnieciskas pamatdarbibas NP'!G134</f>
        <v>5469.2030999999843</v>
      </c>
      <c r="G59" s="878">
        <f>'Saimnieciskas pamatdarbibas NP'!H134</f>
        <v>5567.7472999999882</v>
      </c>
      <c r="H59" s="878">
        <f>'Saimnieciskas pamatdarbibas NP'!I134</f>
        <v>5666.2914999999921</v>
      </c>
      <c r="I59" s="878">
        <f>'Saimnieciskas pamatdarbibas NP'!J134</f>
        <v>5764.8357000000542</v>
      </c>
      <c r="J59" s="878">
        <f>'Saimnieciskas pamatdarbibas NP'!K134</f>
        <v>5863.3798999999708</v>
      </c>
      <c r="K59" s="878">
        <f>'Saimnieciskas pamatdarbibas NP'!L134</f>
        <v>5961.9241000000329</v>
      </c>
      <c r="L59" s="878">
        <f>'Saimnieciskas pamatdarbibas NP'!M134</f>
        <v>6060.4683000000077</v>
      </c>
      <c r="M59" s="878">
        <f>'Saimnieciskas pamatdarbibas NP'!N134</f>
        <v>6159.0124999999825</v>
      </c>
      <c r="N59" s="878">
        <f>'Saimnieciskas pamatdarbibas NP'!O134</f>
        <v>6306.8287999999884</v>
      </c>
      <c r="O59" s="878">
        <f>'Saimnieciskas pamatdarbibas NP'!P134</f>
        <v>6454.6450999999943</v>
      </c>
      <c r="P59" s="878">
        <f>'Saimnieciskas pamatdarbibas NP'!Q134</f>
        <v>6602.461399999971</v>
      </c>
      <c r="Q59" s="878">
        <f>'Saimnieciskas pamatdarbibas NP'!R134</f>
        <v>6750.2776999999769</v>
      </c>
      <c r="R59" s="878">
        <f>'Saimnieciskas pamatdarbibas NP'!S134</f>
        <v>6898.0940000000119</v>
      </c>
      <c r="S59" s="878">
        <f>'Saimnieciskas pamatdarbibas NP'!T134</f>
        <v>7045.9103000000177</v>
      </c>
      <c r="T59" s="878">
        <f>'Saimnieciskas pamatdarbibas NP'!U134</f>
        <v>7193.7265999999945</v>
      </c>
      <c r="U59" s="878">
        <f>'Saimnieciskas pamatdarbibas NP'!V134</f>
        <v>7341.5428999999713</v>
      </c>
      <c r="V59" s="878">
        <f>'Saimnieciskas pamatdarbibas NP'!W134</f>
        <v>7489.3592000000062</v>
      </c>
      <c r="W59" s="878">
        <f>'Saimnieciskas pamatdarbibas NP'!X134</f>
        <v>7637.1755000000121</v>
      </c>
      <c r="X59" s="878">
        <f>'Saimnieciskas pamatdarbibas NP'!Y134</f>
        <v>7784.9917999999598</v>
      </c>
      <c r="Y59" s="878">
        <f>'Saimnieciskas pamatdarbibas NP'!Z134</f>
        <v>7932.8080999999656</v>
      </c>
      <c r="Z59" s="878">
        <f>'Saimnieciskas pamatdarbibas NP'!AA134</f>
        <v>8080.6243999999715</v>
      </c>
      <c r="AA59" s="878">
        <f>'Saimnieciskas pamatdarbibas NP'!AB134</f>
        <v>8228.4407000000356</v>
      </c>
      <c r="AB59" s="878">
        <f>'Saimnieciskas pamatdarbibas NP'!AC134</f>
        <v>8376.2570000000414</v>
      </c>
      <c r="AC59" s="878">
        <f>'Saimnieciskas pamatdarbibas NP'!AD134</f>
        <v>8524.0732999999891</v>
      </c>
      <c r="AD59" s="878">
        <f>'Saimnieciskas pamatdarbibas NP'!AE134</f>
        <v>8671.889599999995</v>
      </c>
      <c r="AE59" s="878">
        <f>'Saimnieciskas pamatdarbibas NP'!AF134</f>
        <v>8868.9779999999446</v>
      </c>
      <c r="AF59" s="878">
        <f>'Saimnieciskas pamatdarbibas NP'!AG134</f>
        <v>9066.0663999999524</v>
      </c>
      <c r="AG59" s="878">
        <f>'Saimnieciskas pamatdarbibas NP'!AH134</f>
        <v>9263.1548000000184</v>
      </c>
      <c r="AH59" s="883">
        <f>'Saimnieciskas pamatdarbibas NP'!AI134</f>
        <v>9460.2432000000263</v>
      </c>
      <c r="AI59" s="887"/>
    </row>
    <row r="60" spans="1:35" ht="12.75" x14ac:dyDescent="0.2">
      <c r="A60" s="873" t="s">
        <v>651</v>
      </c>
      <c r="B60" s="879">
        <f>SUM(B61:B62)</f>
        <v>246585</v>
      </c>
      <c r="C60" s="879">
        <f t="shared" ref="C60:AE60" si="32">SUM(C61:C62)</f>
        <v>36400</v>
      </c>
      <c r="D60" s="879">
        <f t="shared" si="32"/>
        <v>0</v>
      </c>
      <c r="E60" s="879">
        <f t="shared" si="32"/>
        <v>0</v>
      </c>
      <c r="F60" s="879">
        <f t="shared" si="32"/>
        <v>0</v>
      </c>
      <c r="G60" s="879">
        <f t="shared" si="32"/>
        <v>0</v>
      </c>
      <c r="H60" s="879">
        <f t="shared" si="32"/>
        <v>0</v>
      </c>
      <c r="I60" s="879">
        <f t="shared" si="32"/>
        <v>0</v>
      </c>
      <c r="J60" s="879">
        <f t="shared" si="32"/>
        <v>0</v>
      </c>
      <c r="K60" s="879">
        <f t="shared" si="32"/>
        <v>0</v>
      </c>
      <c r="L60" s="879">
        <f t="shared" si="32"/>
        <v>0</v>
      </c>
      <c r="M60" s="879">
        <f t="shared" si="32"/>
        <v>0</v>
      </c>
      <c r="N60" s="879">
        <f t="shared" si="32"/>
        <v>0</v>
      </c>
      <c r="O60" s="879">
        <f t="shared" si="32"/>
        <v>0</v>
      </c>
      <c r="P60" s="879">
        <f t="shared" si="32"/>
        <v>0</v>
      </c>
      <c r="Q60" s="879">
        <f t="shared" si="32"/>
        <v>0</v>
      </c>
      <c r="R60" s="879">
        <f t="shared" si="32"/>
        <v>0</v>
      </c>
      <c r="S60" s="879">
        <f t="shared" si="32"/>
        <v>0</v>
      </c>
      <c r="T60" s="879">
        <f t="shared" si="32"/>
        <v>0</v>
      </c>
      <c r="U60" s="879">
        <f t="shared" si="32"/>
        <v>0</v>
      </c>
      <c r="V60" s="879">
        <f t="shared" si="32"/>
        <v>0</v>
      </c>
      <c r="W60" s="879">
        <f t="shared" si="32"/>
        <v>0</v>
      </c>
      <c r="X60" s="879">
        <f t="shared" si="32"/>
        <v>0</v>
      </c>
      <c r="Y60" s="879">
        <f t="shared" si="32"/>
        <v>0</v>
      </c>
      <c r="Z60" s="879">
        <f t="shared" si="32"/>
        <v>0</v>
      </c>
      <c r="AA60" s="879">
        <f t="shared" si="32"/>
        <v>0</v>
      </c>
      <c r="AB60" s="879">
        <f t="shared" si="32"/>
        <v>0</v>
      </c>
      <c r="AC60" s="879">
        <f t="shared" si="32"/>
        <v>0</v>
      </c>
      <c r="AD60" s="879">
        <f t="shared" si="32"/>
        <v>0</v>
      </c>
      <c r="AE60" s="879">
        <f t="shared" si="32"/>
        <v>0</v>
      </c>
      <c r="AF60" s="879">
        <f t="shared" ref="AF60" si="33">SUM(AF61:AF62)</f>
        <v>0</v>
      </c>
      <c r="AG60" s="879">
        <f t="shared" ref="AG60" si="34">SUM(AG61:AG62)</f>
        <v>0</v>
      </c>
      <c r="AH60" s="884">
        <f t="shared" ref="AH60" si="35">SUM(AH61:AH62)</f>
        <v>0</v>
      </c>
      <c r="AI60" s="888"/>
    </row>
    <row r="61" spans="1:35" ht="12.75" x14ac:dyDescent="0.2">
      <c r="A61" s="872" t="s">
        <v>656</v>
      </c>
      <c r="B61" s="878">
        <f>Aprekini!C154</f>
        <v>40800</v>
      </c>
      <c r="C61" s="878">
        <f>Aprekini!D154</f>
        <v>36400</v>
      </c>
      <c r="D61" s="878">
        <f>Aprekini!E154</f>
        <v>0</v>
      </c>
      <c r="E61" s="878">
        <f>Aprekini!F154</f>
        <v>0</v>
      </c>
      <c r="F61" s="878">
        <f>Aprekini!G154</f>
        <v>0</v>
      </c>
      <c r="G61" s="878">
        <f>Aprekini!H154</f>
        <v>0</v>
      </c>
      <c r="H61" s="878">
        <f>Aprekini!I154</f>
        <v>0</v>
      </c>
      <c r="I61" s="878">
        <f>Aprekini!J154</f>
        <v>0</v>
      </c>
      <c r="J61" s="878">
        <f>Aprekini!K154</f>
        <v>0</v>
      </c>
      <c r="K61" s="878">
        <f>Aprekini!L154</f>
        <v>0</v>
      </c>
      <c r="L61" s="878">
        <f>Aprekini!M154</f>
        <v>0</v>
      </c>
      <c r="M61" s="878">
        <f>Aprekini!N154</f>
        <v>0</v>
      </c>
      <c r="N61" s="878">
        <f>Aprekini!O154</f>
        <v>0</v>
      </c>
      <c r="O61" s="878">
        <f>Aprekini!P154</f>
        <v>0</v>
      </c>
      <c r="P61" s="878">
        <f>Aprekini!Q154</f>
        <v>0</v>
      </c>
      <c r="Q61" s="878">
        <f>Aprekini!R154</f>
        <v>0</v>
      </c>
      <c r="R61" s="878">
        <f>Aprekini!S154</f>
        <v>0</v>
      </c>
      <c r="S61" s="878">
        <f>Aprekini!T154</f>
        <v>0</v>
      </c>
      <c r="T61" s="878">
        <f>Aprekini!U154</f>
        <v>0</v>
      </c>
      <c r="U61" s="878">
        <f>Aprekini!V154</f>
        <v>0</v>
      </c>
      <c r="V61" s="878">
        <f>Aprekini!W154</f>
        <v>0</v>
      </c>
      <c r="W61" s="878">
        <f>Aprekini!X154</f>
        <v>0</v>
      </c>
      <c r="X61" s="878">
        <f>Aprekini!Y154</f>
        <v>0</v>
      </c>
      <c r="Y61" s="878">
        <f>Aprekini!Z154</f>
        <v>0</v>
      </c>
      <c r="Z61" s="878">
        <f>Aprekini!AA154</f>
        <v>0</v>
      </c>
      <c r="AA61" s="878">
        <f>Aprekini!AB154</f>
        <v>0</v>
      </c>
      <c r="AB61" s="878">
        <f>Aprekini!AC154</f>
        <v>0</v>
      </c>
      <c r="AC61" s="878">
        <f>Aprekini!AD154</f>
        <v>0</v>
      </c>
      <c r="AD61" s="878">
        <f>Aprekini!AE154</f>
        <v>0</v>
      </c>
      <c r="AE61" s="878">
        <f>Aprekini!AF154</f>
        <v>0</v>
      </c>
      <c r="AF61" s="878">
        <f>Aprekini!AG154</f>
        <v>0</v>
      </c>
      <c r="AG61" s="878">
        <f>Aprekini!AH154</f>
        <v>0</v>
      </c>
      <c r="AH61" s="883">
        <f>Aprekini!AI154</f>
        <v>0</v>
      </c>
      <c r="AI61" s="887"/>
    </row>
    <row r="62" spans="1:35" ht="12.75" x14ac:dyDescent="0.2">
      <c r="A62" s="872" t="s">
        <v>657</v>
      </c>
      <c r="B62" s="878">
        <f>Aprekini!C155</f>
        <v>205785</v>
      </c>
      <c r="C62" s="878">
        <f>Aprekini!D155</f>
        <v>0</v>
      </c>
      <c r="D62" s="878">
        <f>Aprekini!E155</f>
        <v>0</v>
      </c>
      <c r="E62" s="878">
        <f>Aprekini!F155</f>
        <v>0</v>
      </c>
      <c r="F62" s="878">
        <f>Aprekini!G155</f>
        <v>0</v>
      </c>
      <c r="G62" s="878">
        <f>Aprekini!H155</f>
        <v>0</v>
      </c>
      <c r="H62" s="878">
        <f>Aprekini!I155</f>
        <v>0</v>
      </c>
      <c r="I62" s="878">
        <f>Aprekini!J155</f>
        <v>0</v>
      </c>
      <c r="J62" s="878">
        <f>Aprekini!K155</f>
        <v>0</v>
      </c>
      <c r="K62" s="878">
        <f>Aprekini!L155</f>
        <v>0</v>
      </c>
      <c r="L62" s="878">
        <f>Aprekini!M155</f>
        <v>0</v>
      </c>
      <c r="M62" s="878">
        <f>Aprekini!N155</f>
        <v>0</v>
      </c>
      <c r="N62" s="878">
        <f>Aprekini!O155</f>
        <v>0</v>
      </c>
      <c r="O62" s="878">
        <f>Aprekini!P155</f>
        <v>0</v>
      </c>
      <c r="P62" s="878">
        <f>Aprekini!Q155</f>
        <v>0</v>
      </c>
      <c r="Q62" s="878">
        <f>Aprekini!R155</f>
        <v>0</v>
      </c>
      <c r="R62" s="878">
        <f>Aprekini!S155</f>
        <v>0</v>
      </c>
      <c r="S62" s="878">
        <f>Aprekini!T155</f>
        <v>0</v>
      </c>
      <c r="T62" s="878">
        <f>Aprekini!U155</f>
        <v>0</v>
      </c>
      <c r="U62" s="878">
        <f>Aprekini!V155</f>
        <v>0</v>
      </c>
      <c r="V62" s="878">
        <f>Aprekini!W155</f>
        <v>0</v>
      </c>
      <c r="W62" s="878">
        <f>Aprekini!X155</f>
        <v>0</v>
      </c>
      <c r="X62" s="878">
        <f>Aprekini!Y155</f>
        <v>0</v>
      </c>
      <c r="Y62" s="878">
        <f>Aprekini!Z155</f>
        <v>0</v>
      </c>
      <c r="Z62" s="878">
        <f>Aprekini!AA155</f>
        <v>0</v>
      </c>
      <c r="AA62" s="878">
        <f>Aprekini!AB155</f>
        <v>0</v>
      </c>
      <c r="AB62" s="878">
        <f>Aprekini!AC155</f>
        <v>0</v>
      </c>
      <c r="AC62" s="878">
        <f>Aprekini!AD155</f>
        <v>0</v>
      </c>
      <c r="AD62" s="878">
        <f>Aprekini!AE155</f>
        <v>0</v>
      </c>
      <c r="AE62" s="878">
        <f>Aprekini!AF155</f>
        <v>0</v>
      </c>
      <c r="AF62" s="878">
        <f>Aprekini!AG155</f>
        <v>0</v>
      </c>
      <c r="AG62" s="878">
        <f>Aprekini!AH155</f>
        <v>0</v>
      </c>
      <c r="AH62" s="883">
        <f>Aprekini!AI155</f>
        <v>0</v>
      </c>
      <c r="AI62" s="887"/>
    </row>
    <row r="63" spans="1:35" ht="12.75" x14ac:dyDescent="0.2">
      <c r="A63" s="873" t="s">
        <v>641</v>
      </c>
      <c r="B63" s="879">
        <f>Aprekini!C168</f>
        <v>0</v>
      </c>
      <c r="C63" s="879">
        <f>Aprekini!D168</f>
        <v>0</v>
      </c>
      <c r="D63" s="879">
        <f>Aprekini!E168</f>
        <v>0</v>
      </c>
      <c r="E63" s="879">
        <f>Aprekini!F168</f>
        <v>0</v>
      </c>
      <c r="F63" s="879">
        <f>Aprekini!G168</f>
        <v>0</v>
      </c>
      <c r="G63" s="879">
        <f>Aprekini!H168</f>
        <v>0</v>
      </c>
      <c r="H63" s="879">
        <f>Aprekini!I168</f>
        <v>0</v>
      </c>
      <c r="I63" s="879">
        <f>Aprekini!J168</f>
        <v>0</v>
      </c>
      <c r="J63" s="879">
        <f>Aprekini!K168</f>
        <v>0</v>
      </c>
      <c r="K63" s="879">
        <f>Aprekini!L168</f>
        <v>0</v>
      </c>
      <c r="L63" s="879">
        <f>Aprekini!M168</f>
        <v>0</v>
      </c>
      <c r="M63" s="879">
        <f>Aprekini!N168</f>
        <v>0</v>
      </c>
      <c r="N63" s="879">
        <f>Aprekini!O168</f>
        <v>0</v>
      </c>
      <c r="O63" s="879">
        <f>Aprekini!P168</f>
        <v>0</v>
      </c>
      <c r="P63" s="879">
        <f>Aprekini!Q168</f>
        <v>0</v>
      </c>
      <c r="Q63" s="879">
        <f>Aprekini!R168</f>
        <v>0</v>
      </c>
      <c r="R63" s="879">
        <f>Aprekini!S168</f>
        <v>0</v>
      </c>
      <c r="S63" s="879">
        <f>Aprekini!T168</f>
        <v>0</v>
      </c>
      <c r="T63" s="879">
        <f>Aprekini!U168</f>
        <v>0</v>
      </c>
      <c r="U63" s="879">
        <f>Aprekini!V168</f>
        <v>0</v>
      </c>
      <c r="V63" s="879">
        <f>Aprekini!W168</f>
        <v>0</v>
      </c>
      <c r="W63" s="879">
        <f>Aprekini!X168</f>
        <v>0</v>
      </c>
      <c r="X63" s="879">
        <f>Aprekini!Y168</f>
        <v>0</v>
      </c>
      <c r="Y63" s="879">
        <f>Aprekini!Z168</f>
        <v>0</v>
      </c>
      <c r="Z63" s="879">
        <f>Aprekini!AA168</f>
        <v>0</v>
      </c>
      <c r="AA63" s="879">
        <f>Aprekini!AB168</f>
        <v>0</v>
      </c>
      <c r="AB63" s="879">
        <f>Aprekini!AC168</f>
        <v>0</v>
      </c>
      <c r="AC63" s="879">
        <f>Aprekini!AD168</f>
        <v>0</v>
      </c>
      <c r="AD63" s="879">
        <f>Aprekini!AE168</f>
        <v>0</v>
      </c>
      <c r="AE63" s="879">
        <f>Aprekini!AF168</f>
        <v>54164</v>
      </c>
      <c r="AF63" s="879">
        <f>Aprekini!AG168</f>
        <v>0</v>
      </c>
      <c r="AG63" s="879">
        <f>Aprekini!AH168</f>
        <v>0</v>
      </c>
      <c r="AH63" s="884">
        <f>Aprekini!AI168</f>
        <v>0</v>
      </c>
      <c r="AI63" s="888"/>
    </row>
    <row r="64" spans="1:35" ht="12.75" x14ac:dyDescent="0.2">
      <c r="A64" s="874" t="s">
        <v>635</v>
      </c>
      <c r="B64" s="880">
        <f>SUM(B52,B63)-SUM(B55,B60)</f>
        <v>-246585</v>
      </c>
      <c r="C64" s="880">
        <f t="shared" ref="C64:AE64" si="36">SUM(C52,C63)-SUM(C55,C60)</f>
        <v>-22027.800500000096</v>
      </c>
      <c r="D64" s="880">
        <f t="shared" si="36"/>
        <v>22477.927699999986</v>
      </c>
      <c r="E64" s="880">
        <f t="shared" si="36"/>
        <v>17279.081899999968</v>
      </c>
      <c r="F64" s="880">
        <f t="shared" si="36"/>
        <v>18421.304099999954</v>
      </c>
      <c r="G64" s="880">
        <f t="shared" si="36"/>
        <v>19638.414299999968</v>
      </c>
      <c r="H64" s="880">
        <f t="shared" si="36"/>
        <v>17572.658500000027</v>
      </c>
      <c r="I64" s="880">
        <f t="shared" si="36"/>
        <v>15581.800699999949</v>
      </c>
      <c r="J64" s="880">
        <f t="shared" si="36"/>
        <v>19931.990899999997</v>
      </c>
      <c r="K64" s="880">
        <f t="shared" si="36"/>
        <v>18629.473100000003</v>
      </c>
      <c r="L64" s="880">
        <f t="shared" si="36"/>
        <v>17600.187300000012</v>
      </c>
      <c r="M64" s="880">
        <f t="shared" si="36"/>
        <v>6475.4215000000695</v>
      </c>
      <c r="N64" s="880">
        <f t="shared" si="36"/>
        <v>5055.6647999999623</v>
      </c>
      <c r="O64" s="880">
        <f t="shared" si="36"/>
        <v>2168.5300999999818</v>
      </c>
      <c r="P64" s="880">
        <f t="shared" si="36"/>
        <v>5697.3614000000016</v>
      </c>
      <c r="Q64" s="880">
        <f t="shared" si="36"/>
        <v>-670.97329999997601</v>
      </c>
      <c r="R64" s="880">
        <f t="shared" si="36"/>
        <v>2857.8479999999763</v>
      </c>
      <c r="S64" s="880">
        <f t="shared" si="36"/>
        <v>-29.276700000060373</v>
      </c>
      <c r="T64" s="880">
        <f t="shared" si="36"/>
        <v>3499.5445999999574</v>
      </c>
      <c r="U64" s="880">
        <f t="shared" si="36"/>
        <v>960.52989999998681</v>
      </c>
      <c r="V64" s="880">
        <f t="shared" si="36"/>
        <v>4489.3611999999557</v>
      </c>
      <c r="W64" s="880">
        <f t="shared" si="36"/>
        <v>1602.2265000000625</v>
      </c>
      <c r="X64" s="880">
        <f t="shared" si="36"/>
        <v>1649.847800000025</v>
      </c>
      <c r="Y64" s="880">
        <f t="shared" si="36"/>
        <v>1970.7011000000202</v>
      </c>
      <c r="Z64" s="880">
        <f t="shared" si="36"/>
        <v>2291.5444000000134</v>
      </c>
      <c r="AA64" s="880">
        <f t="shared" si="36"/>
        <v>3300.7476999998908</v>
      </c>
      <c r="AB64" s="880">
        <f t="shared" si="36"/>
        <v>1176.8509999999078</v>
      </c>
      <c r="AC64" s="880">
        <f t="shared" si="36"/>
        <v>2186.0443000000378</v>
      </c>
      <c r="AD64" s="880">
        <f t="shared" si="36"/>
        <v>3195.2476000001479</v>
      </c>
      <c r="AE64" s="879">
        <f t="shared" si="36"/>
        <v>56858.722000000038</v>
      </c>
      <c r="AF64" s="879">
        <f t="shared" ref="AF64" si="37">SUM(AF52,AF63)-SUM(AF55,AF60)</f>
        <v>1846.0764000000781</v>
      </c>
      <c r="AG64" s="879">
        <f t="shared" ref="AG64" si="38">SUM(AG52,AG63)-SUM(AG55,AG60)</f>
        <v>1345.5507999999172</v>
      </c>
      <c r="AH64" s="884">
        <f t="shared" ref="AH64" si="39">SUM(AH52,AH63)-SUM(AH55,AH60)</f>
        <v>496.91519999998854</v>
      </c>
      <c r="AI64" s="888"/>
    </row>
  </sheetData>
  <sheetProtection algorithmName="SHA-512" hashValue="aYlRc5J9eBS5ZqBHRMCPDBdQJRQLrbCWdy1mkv42W/c5gPwp/25f0HKTGgXXv4rH9d8wbwlFhf5gC/YYoBDERA==" saltValue="IhR1yyg1kb8omgUZwngwzg==" spinCount="100000" sheet="1" objects="1" scenarios="1"/>
  <mergeCells count="1">
    <mergeCell ref="A1:C1"/>
  </mergeCells>
  <phoneticPr fontId="2" type="noConversion"/>
  <printOptions horizontalCentered="1"/>
  <pageMargins left="0.59027777777777779" right="0.59027777777777779" top="1" bottom="1.1388888888888888" header="0.51180555555555551" footer="1"/>
  <pageSetup paperSize="9" scale="66" firstPageNumber="0" orientation="landscape" horizontalDpi="300" verticalDpi="300"/>
  <headerFooter alignWithMargins="0">
    <oddFooter>&amp;L&amp;A&amp;R&amp;P</oddFooter>
  </headerFooter>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59999389629810485"/>
  </sheetPr>
  <dimension ref="A1:AI57"/>
  <sheetViews>
    <sheetView showGridLines="0" zoomScaleSheetLayoutView="90" workbookViewId="0">
      <pane xSplit="1" topLeftCell="B1" activePane="topRight" state="frozen"/>
      <selection pane="topRight" activeCell="H22" sqref="H22"/>
    </sheetView>
  </sheetViews>
  <sheetFormatPr defaultColWidth="9.140625" defaultRowHeight="11.25" x14ac:dyDescent="0.2"/>
  <cols>
    <col min="1" max="1" width="52.140625" style="154" customWidth="1"/>
    <col min="2" max="2" width="15.85546875" style="154" customWidth="1"/>
    <col min="3" max="33" width="12.7109375" style="154" customWidth="1"/>
    <col min="34" max="34" width="12.7109375" style="154" bestFit="1" customWidth="1"/>
    <col min="35" max="35" width="12.7109375" style="154" customWidth="1"/>
    <col min="36" max="16384" width="9.140625" style="154"/>
  </cols>
  <sheetData>
    <row r="1" spans="1:35" ht="43.5" customHeight="1" x14ac:dyDescent="0.2">
      <c r="A1" s="1051" t="s">
        <v>511</v>
      </c>
      <c r="B1" s="1051"/>
      <c r="C1" s="1051"/>
      <c r="D1" s="1051"/>
    </row>
    <row r="2" spans="1:35" ht="16.5" x14ac:dyDescent="0.2">
      <c r="A2" s="22">
        <f>'Datu ievade'!$B$10</f>
        <v>0</v>
      </c>
      <c r="B2" s="23">
        <f>'Datu ievade'!$B$11</f>
        <v>0</v>
      </c>
    </row>
    <row r="4" spans="1:35" ht="17.25" customHeight="1" x14ac:dyDescent="0.25">
      <c r="A4" s="288" t="s">
        <v>294</v>
      </c>
      <c r="B4" s="217"/>
      <c r="C4" s="217"/>
      <c r="D4" s="217"/>
      <c r="E4" s="217"/>
      <c r="F4" s="217"/>
      <c r="G4" s="217"/>
      <c r="H4" s="217"/>
      <c r="I4" s="217"/>
      <c r="J4" s="217"/>
      <c r="K4" s="217"/>
      <c r="L4" s="217"/>
      <c r="M4" s="217"/>
      <c r="N4" s="217"/>
      <c r="O4" s="217"/>
      <c r="P4" s="217"/>
      <c r="Q4" s="217"/>
      <c r="R4" s="217"/>
      <c r="S4" s="217"/>
      <c r="T4" s="217"/>
      <c r="U4" s="217"/>
      <c r="V4" s="170"/>
      <c r="W4" s="170"/>
      <c r="X4" s="170"/>
      <c r="Y4" s="170"/>
      <c r="Z4" s="170"/>
      <c r="AA4" s="170"/>
      <c r="AB4" s="170"/>
      <c r="AC4" s="170"/>
      <c r="AD4" s="170"/>
      <c r="AE4" s="170"/>
      <c r="AF4" s="170"/>
      <c r="AG4" s="170"/>
      <c r="AH4" s="170"/>
      <c r="AI4" s="170"/>
    </row>
    <row r="5" spans="1:35" ht="12.75" x14ac:dyDescent="0.2">
      <c r="A5" s="218"/>
      <c r="B5" s="116"/>
      <c r="C5" s="116"/>
      <c r="D5" s="116"/>
      <c r="E5" s="116"/>
      <c r="F5" s="172"/>
      <c r="G5" s="116"/>
      <c r="H5" s="116"/>
      <c r="I5" s="116"/>
      <c r="J5" s="172" t="s">
        <v>16</v>
      </c>
      <c r="K5" s="116"/>
      <c r="L5" s="172"/>
      <c r="M5" s="116"/>
      <c r="N5" s="116"/>
      <c r="O5" s="116"/>
      <c r="P5" s="219"/>
      <c r="Q5" s="219"/>
      <c r="R5" s="219"/>
      <c r="S5" s="219"/>
      <c r="T5" s="219"/>
      <c r="U5" s="192"/>
      <c r="V5" s="192"/>
      <c r="W5" s="192"/>
      <c r="X5" s="219"/>
      <c r="Y5" s="219"/>
      <c r="Z5" s="219"/>
      <c r="AA5" s="219"/>
      <c r="AB5" s="219"/>
      <c r="AC5" s="219"/>
      <c r="AD5" s="219"/>
      <c r="AE5" s="219"/>
      <c r="AF5" s="219"/>
      <c r="AG5" s="219"/>
      <c r="AH5" s="219"/>
      <c r="AI5" s="219"/>
    </row>
    <row r="6" spans="1:35" ht="12.75" x14ac:dyDescent="0.2">
      <c r="A6" s="220"/>
      <c r="B6" s="124">
        <f>'Datu ievade'!B183</f>
        <v>2020</v>
      </c>
      <c r="C6" s="124">
        <f t="shared" ref="C6:AG6" si="0">B6+1</f>
        <v>2021</v>
      </c>
      <c r="D6" s="124">
        <f t="shared" si="0"/>
        <v>2022</v>
      </c>
      <c r="E6" s="124">
        <f t="shared" si="0"/>
        <v>2023</v>
      </c>
      <c r="F6" s="124">
        <f t="shared" si="0"/>
        <v>2024</v>
      </c>
      <c r="G6" s="124">
        <f t="shared" si="0"/>
        <v>2025</v>
      </c>
      <c r="H6" s="124">
        <f t="shared" si="0"/>
        <v>2026</v>
      </c>
      <c r="I6" s="124">
        <f t="shared" si="0"/>
        <v>2027</v>
      </c>
      <c r="J6" s="124">
        <f t="shared" si="0"/>
        <v>2028</v>
      </c>
      <c r="K6" s="124">
        <f t="shared" si="0"/>
        <v>2029</v>
      </c>
      <c r="L6" s="221">
        <f t="shared" si="0"/>
        <v>2030</v>
      </c>
      <c r="M6" s="222">
        <f t="shared" si="0"/>
        <v>2031</v>
      </c>
      <c r="N6" s="222">
        <f t="shared" si="0"/>
        <v>2032</v>
      </c>
      <c r="O6" s="222">
        <f t="shared" si="0"/>
        <v>2033</v>
      </c>
      <c r="P6" s="222">
        <f t="shared" si="0"/>
        <v>2034</v>
      </c>
      <c r="Q6" s="222">
        <f t="shared" si="0"/>
        <v>2035</v>
      </c>
      <c r="R6" s="222">
        <f t="shared" si="0"/>
        <v>2036</v>
      </c>
      <c r="S6" s="222">
        <f t="shared" si="0"/>
        <v>2037</v>
      </c>
      <c r="T6" s="222">
        <f t="shared" si="0"/>
        <v>2038</v>
      </c>
      <c r="U6" s="222">
        <f t="shared" si="0"/>
        <v>2039</v>
      </c>
      <c r="V6" s="222">
        <f t="shared" si="0"/>
        <v>2040</v>
      </c>
      <c r="W6" s="222">
        <f t="shared" si="0"/>
        <v>2041</v>
      </c>
      <c r="X6" s="222">
        <f t="shared" si="0"/>
        <v>2042</v>
      </c>
      <c r="Y6" s="222">
        <f t="shared" si="0"/>
        <v>2043</v>
      </c>
      <c r="Z6" s="222">
        <f t="shared" si="0"/>
        <v>2044</v>
      </c>
      <c r="AA6" s="222">
        <f t="shared" si="0"/>
        <v>2045</v>
      </c>
      <c r="AB6" s="222">
        <f t="shared" si="0"/>
        <v>2046</v>
      </c>
      <c r="AC6" s="222">
        <f t="shared" si="0"/>
        <v>2047</v>
      </c>
      <c r="AD6" s="222">
        <f t="shared" si="0"/>
        <v>2048</v>
      </c>
      <c r="AE6" s="222">
        <f t="shared" si="0"/>
        <v>2049</v>
      </c>
      <c r="AF6" s="222">
        <f t="shared" si="0"/>
        <v>2050</v>
      </c>
      <c r="AG6" s="222">
        <f t="shared" si="0"/>
        <v>2051</v>
      </c>
      <c r="AH6" s="222">
        <f>AG6+1</f>
        <v>2052</v>
      </c>
      <c r="AI6" s="222">
        <f>AH6+1</f>
        <v>2053</v>
      </c>
    </row>
    <row r="7" spans="1:35" ht="25.5" x14ac:dyDescent="0.2">
      <c r="A7" s="40" t="s">
        <v>256</v>
      </c>
      <c r="B7" s="223"/>
      <c r="C7" s="223"/>
      <c r="D7" s="223"/>
      <c r="E7" s="223"/>
      <c r="F7" s="223"/>
      <c r="G7" s="223"/>
      <c r="H7" s="223"/>
      <c r="I7" s="223"/>
      <c r="J7" s="223"/>
      <c r="K7" s="223"/>
      <c r="L7" s="223"/>
      <c r="M7" s="223"/>
      <c r="N7" s="223"/>
      <c r="O7" s="223"/>
      <c r="P7" s="223"/>
      <c r="Q7" s="223"/>
      <c r="R7" s="223"/>
      <c r="S7" s="223"/>
      <c r="T7" s="223"/>
      <c r="U7" s="223"/>
      <c r="V7" s="223"/>
      <c r="W7" s="223"/>
      <c r="X7" s="223"/>
      <c r="Y7" s="223"/>
      <c r="Z7" s="224"/>
      <c r="AA7" s="224"/>
      <c r="AB7" s="224"/>
      <c r="AC7" s="224"/>
      <c r="AD7" s="224"/>
      <c r="AE7" s="224"/>
      <c r="AF7" s="224"/>
      <c r="AG7" s="224"/>
      <c r="AH7" s="224"/>
      <c r="AI7" s="224"/>
    </row>
    <row r="8" spans="1:35" ht="29.25" customHeight="1" x14ac:dyDescent="0.2">
      <c r="A8" s="289" t="str">
        <f>'gadu šķirošana'!B71</f>
        <v>Pašvaldības ilgtermiņa saistību apjoms, neskaitot šo projektu, uz gada beigām</v>
      </c>
      <c r="B8" s="762">
        <f>'gadu šķirošana'!D71</f>
        <v>100000</v>
      </c>
      <c r="C8" s="762">
        <f>'gadu šķirošana'!E71</f>
        <v>100000</v>
      </c>
      <c r="D8" s="762">
        <f>'gadu šķirošana'!F71</f>
        <v>100000</v>
      </c>
      <c r="E8" s="762">
        <f>'gadu šķirošana'!G71</f>
        <v>100000</v>
      </c>
      <c r="F8" s="762">
        <f>'gadu šķirošana'!H71</f>
        <v>100000</v>
      </c>
      <c r="G8" s="762">
        <f>'gadu šķirošana'!I71</f>
        <v>100000</v>
      </c>
      <c r="H8" s="762">
        <f>'gadu šķirošana'!J71</f>
        <v>100000</v>
      </c>
      <c r="I8" s="762">
        <f>'gadu šķirošana'!K71</f>
        <v>100000</v>
      </c>
      <c r="J8" s="762">
        <f>'gadu šķirošana'!L71</f>
        <v>100000</v>
      </c>
      <c r="K8" s="762">
        <f>'gadu šķirošana'!M71</f>
        <v>15000</v>
      </c>
      <c r="L8" s="762">
        <f>'gadu šķirošana'!N71</f>
        <v>15000</v>
      </c>
      <c r="M8" s="762">
        <f>'gadu šķirošana'!O71</f>
        <v>15000</v>
      </c>
      <c r="N8" s="762">
        <f>'gadu šķirošana'!P71</f>
        <v>15000</v>
      </c>
      <c r="O8" s="762">
        <f>'gadu šķirošana'!Q71</f>
        <v>15000</v>
      </c>
      <c r="P8" s="762">
        <f>'gadu šķirošana'!R71</f>
        <v>15000</v>
      </c>
      <c r="Q8" s="762">
        <f>'gadu šķirošana'!S71</f>
        <v>15000</v>
      </c>
      <c r="R8" s="762">
        <f>'gadu šķirošana'!T71</f>
        <v>15000</v>
      </c>
      <c r="S8" s="762">
        <f>'gadu šķirošana'!U71</f>
        <v>15000</v>
      </c>
      <c r="T8" s="762">
        <f>'gadu šķirošana'!V71</f>
        <v>15000</v>
      </c>
      <c r="U8" s="762">
        <f>'gadu šķirošana'!W71</f>
        <v>15000</v>
      </c>
      <c r="V8" s="762">
        <f>'gadu šķirošana'!X71</f>
        <v>15000</v>
      </c>
      <c r="W8" s="762">
        <f>'gadu šķirošana'!Y71</f>
        <v>15000</v>
      </c>
      <c r="X8" s="762">
        <f>'gadu šķirošana'!Z71</f>
        <v>15000</v>
      </c>
      <c r="Y8" s="762">
        <f>'gadu šķirošana'!AA71</f>
        <v>15000</v>
      </c>
      <c r="Z8" s="762">
        <f>'gadu šķirošana'!AB71</f>
        <v>15000</v>
      </c>
      <c r="AA8" s="762">
        <f>'gadu šķirošana'!AC71</f>
        <v>15000</v>
      </c>
      <c r="AB8" s="762">
        <f>'gadu šķirošana'!AD71</f>
        <v>15000</v>
      </c>
      <c r="AC8" s="762">
        <f>'gadu šķirošana'!AE71</f>
        <v>15000</v>
      </c>
      <c r="AD8" s="762">
        <f>'gadu šķirošana'!AF71</f>
        <v>15000</v>
      </c>
      <c r="AE8" s="762">
        <f>'gadu šķirošana'!AG71</f>
        <v>15000</v>
      </c>
      <c r="AF8" s="762">
        <f>'gadu šķirošana'!AH71</f>
        <v>15000</v>
      </c>
      <c r="AG8" s="762">
        <f>'gadu šķirošana'!AI71</f>
        <v>15000</v>
      </c>
      <c r="AH8" s="762">
        <f>'gadu šķirošana'!AJ71</f>
        <v>15000</v>
      </c>
      <c r="AI8" s="762">
        <f>'gadu šķirošana'!AK71</f>
        <v>15000</v>
      </c>
    </row>
    <row r="9" spans="1:35" ht="12.75" x14ac:dyDescent="0.2">
      <c r="A9" s="189" t="s">
        <v>420</v>
      </c>
      <c r="B9" s="763">
        <f>IF('Datu ievade'!$B$12='Datu ievade'!$AK$3,Aprekini!C306,0)</f>
        <v>0</v>
      </c>
      <c r="C9" s="763">
        <f>IF('Datu ievade'!$B$12='Datu ievade'!$AK$3,Aprekini!D306,0)</f>
        <v>0</v>
      </c>
      <c r="D9" s="763">
        <f>IF('Datu ievade'!$B$12='Datu ievade'!$AK$3,Aprekini!E306,0)</f>
        <v>0</v>
      </c>
      <c r="E9" s="763">
        <f>IF('Datu ievade'!$B$12='Datu ievade'!$AK$3,Aprekini!F306,0)</f>
        <v>0</v>
      </c>
      <c r="F9" s="763">
        <f>IF('Datu ievade'!$B$12='Datu ievade'!$AK$3,Aprekini!G306,0)</f>
        <v>0</v>
      </c>
      <c r="G9" s="763">
        <f>IF('Datu ievade'!$B$12='Datu ievade'!$AK$3,Aprekini!H306,0)</f>
        <v>0</v>
      </c>
      <c r="H9" s="763">
        <f>IF('Datu ievade'!$B$12='Datu ievade'!$AK$3,Aprekini!I306,0)</f>
        <v>0</v>
      </c>
      <c r="I9" s="763">
        <f>IF('Datu ievade'!$B$12='Datu ievade'!$AK$3,Aprekini!J306,0)</f>
        <v>0</v>
      </c>
      <c r="J9" s="763">
        <f>IF('Datu ievade'!$B$12='Datu ievade'!$AK$3,Aprekini!K306,0)</f>
        <v>0</v>
      </c>
      <c r="K9" s="763">
        <f>IF('Datu ievade'!$B$12='Datu ievade'!$AK$3,Aprekini!L306,0)</f>
        <v>0</v>
      </c>
      <c r="L9" s="763">
        <f>IF('Datu ievade'!$B$12='Datu ievade'!$AK$3,Aprekini!M306,0)</f>
        <v>0</v>
      </c>
      <c r="M9" s="763">
        <f>IF('Datu ievade'!$B$12='Datu ievade'!$AK$3,Aprekini!N306,0)</f>
        <v>0</v>
      </c>
      <c r="N9" s="763">
        <f>IF('Datu ievade'!$B$12='Datu ievade'!$AK$3,Aprekini!O306,0)</f>
        <v>0</v>
      </c>
      <c r="O9" s="763">
        <f>IF('Datu ievade'!$B$12='Datu ievade'!$AK$3,Aprekini!P306,0)</f>
        <v>0</v>
      </c>
      <c r="P9" s="763">
        <f>IF('Datu ievade'!$B$12='Datu ievade'!$AK$3,Aprekini!Q306,0)</f>
        <v>0</v>
      </c>
      <c r="Q9" s="763">
        <f>IF('Datu ievade'!$B$12='Datu ievade'!$AK$3,Aprekini!R306,0)</f>
        <v>0</v>
      </c>
      <c r="R9" s="763">
        <f>IF('Datu ievade'!$B$12='Datu ievade'!$AK$3,Aprekini!S306,0)</f>
        <v>0</v>
      </c>
      <c r="S9" s="763">
        <f>IF('Datu ievade'!$B$12='Datu ievade'!$AK$3,Aprekini!T306,0)</f>
        <v>0</v>
      </c>
      <c r="T9" s="763">
        <f>IF('Datu ievade'!$B$12='Datu ievade'!$AK$3,Aprekini!U306,0)</f>
        <v>0</v>
      </c>
      <c r="U9" s="763">
        <f>IF('Datu ievade'!$B$12='Datu ievade'!$AK$3,Aprekini!V306,0)</f>
        <v>0</v>
      </c>
      <c r="V9" s="763">
        <f>IF('Datu ievade'!$B$12='Datu ievade'!$AK$3,Aprekini!W306,0)</f>
        <v>0</v>
      </c>
      <c r="W9" s="763">
        <f>IF('Datu ievade'!$B$12='Datu ievade'!$AK$3,Aprekini!X306,0)</f>
        <v>0</v>
      </c>
      <c r="X9" s="763">
        <f>IF('Datu ievade'!$B$12='Datu ievade'!$AK$3,Aprekini!Y306,0)</f>
        <v>0</v>
      </c>
      <c r="Y9" s="763">
        <f>IF('Datu ievade'!$B$12='Datu ievade'!$AK$3,Aprekini!Z306,0)</f>
        <v>0</v>
      </c>
      <c r="Z9" s="763">
        <f>IF('Datu ievade'!$B$12='Datu ievade'!$AK$3,Aprekini!AA306,0)</f>
        <v>0</v>
      </c>
      <c r="AA9" s="763">
        <f>IF('Datu ievade'!$B$12='Datu ievade'!$AK$3,Aprekini!AB306,0)</f>
        <v>0</v>
      </c>
      <c r="AB9" s="763">
        <f>IF('Datu ievade'!$B$12='Datu ievade'!$AK$3,Aprekini!AC306,0)</f>
        <v>0</v>
      </c>
      <c r="AC9" s="763">
        <f>IF('Datu ievade'!$B$12='Datu ievade'!$AK$3,Aprekini!AD306,0)</f>
        <v>0</v>
      </c>
      <c r="AD9" s="763">
        <f>IF('Datu ievade'!$B$12='Datu ievade'!$AK$3,Aprekini!AE306,0)</f>
        <v>0</v>
      </c>
      <c r="AE9" s="763">
        <f>IF('Datu ievade'!$B$12='Datu ievade'!$AK$3,Aprekini!AF306,0)</f>
        <v>0</v>
      </c>
      <c r="AF9" s="763">
        <f>IF('Datu ievade'!$B$12='Datu ievade'!$AK$3,Aprekini!AG306,0)</f>
        <v>0</v>
      </c>
      <c r="AG9" s="763">
        <f>IF('Datu ievade'!$B$12='Datu ievade'!$AK$3,Aprekini!AH306,0)</f>
        <v>0</v>
      </c>
      <c r="AH9" s="763">
        <f>IF('Datu ievade'!$B$12='Datu ievade'!$AK$3,Aprekini!AI306,0)</f>
        <v>0</v>
      </c>
      <c r="AI9" s="763">
        <f>IF('Datu ievade'!$B$12='Datu ievade'!$AK$3,Aprekini!AJ306,0)</f>
        <v>0</v>
      </c>
    </row>
    <row r="10" spans="1:35" ht="27.75" customHeight="1" x14ac:dyDescent="0.2">
      <c r="A10" s="189" t="s">
        <v>481</v>
      </c>
      <c r="B10" s="764">
        <f>IF(Aprekini!C121&gt;0,'gadu šķirošana'!D82+'gadu šķirošana'!D84,0)</f>
        <v>0</v>
      </c>
      <c r="C10" s="764">
        <f>IF(Aprekini!D121&gt;0,'gadu šķirošana'!E82+'gadu šķirošana'!E84,0)</f>
        <v>0</v>
      </c>
      <c r="D10" s="764">
        <f>IF(Aprekini!E121&gt;0,'gadu šķirošana'!F82+'gadu šķirošana'!F84,0)</f>
        <v>7000</v>
      </c>
      <c r="E10" s="764">
        <f>IF(Aprekini!F121&gt;0,'gadu šķirošana'!G82+'gadu šķirošana'!G84,0)</f>
        <v>6800</v>
      </c>
      <c r="F10" s="764">
        <f>IF(Aprekini!G121&gt;0,'gadu šķirošana'!H82+'gadu šķirošana'!H84,0)</f>
        <v>6600</v>
      </c>
      <c r="G10" s="764">
        <f>IF(Aprekini!H121&gt;0,'gadu šķirošana'!I82+'gadu šķirošana'!I84,0)</f>
        <v>6400</v>
      </c>
      <c r="H10" s="764">
        <f>IF(Aprekini!I121&gt;0,'gadu šķirošana'!J82+'gadu šķirošana'!J84,0)</f>
        <v>6200</v>
      </c>
      <c r="I10" s="764">
        <f>IF(Aprekini!J121&gt;0,'gadu šķirošana'!K82+'gadu šķirošana'!K84,0)</f>
        <v>6000</v>
      </c>
      <c r="J10" s="764">
        <f>IF(Aprekini!K121&gt;0,'gadu šķirošana'!L82+'gadu šķirošana'!L84,0)</f>
        <v>5800</v>
      </c>
      <c r="K10" s="764">
        <f>IF(Aprekini!L121&gt;0,'gadu šķirošana'!M82+'gadu šķirošana'!M84,0)</f>
        <v>5600</v>
      </c>
      <c r="L10" s="764">
        <f>IF(Aprekini!M121&gt;0,'gadu šķirošana'!N82+'gadu šķirošana'!N84,0)</f>
        <v>5400</v>
      </c>
      <c r="M10" s="764">
        <f>IF(Aprekini!N121&gt;0,'gadu šķirošana'!O82+'gadu šķirošana'!O84,0)</f>
        <v>5200</v>
      </c>
      <c r="N10" s="764">
        <f>IF(Aprekini!O121&gt;0,'gadu šķirošana'!P82+'gadu šķirošana'!P84,0)</f>
        <v>0</v>
      </c>
      <c r="O10" s="764">
        <f>IF(Aprekini!P121&gt;0,'gadu šķirošana'!Q82+'gadu šķirošana'!Q84,0)</f>
        <v>0</v>
      </c>
      <c r="P10" s="764">
        <f>IF(Aprekini!Q121&gt;0,'gadu šķirošana'!R82+'gadu šķirošana'!R84,0)</f>
        <v>0</v>
      </c>
      <c r="Q10" s="764">
        <f>IF(Aprekini!R121&gt;0,'gadu šķirošana'!S82+'gadu šķirošana'!S84,0)</f>
        <v>0</v>
      </c>
      <c r="R10" s="764">
        <f>IF(Aprekini!S121&gt;0,'gadu šķirošana'!T82+'gadu šķirošana'!T84,0)</f>
        <v>0</v>
      </c>
      <c r="S10" s="764">
        <f>IF(Aprekini!T121&gt;0,'gadu šķirošana'!U82+'gadu šķirošana'!U84,0)</f>
        <v>0</v>
      </c>
      <c r="T10" s="764">
        <f>IF(Aprekini!U121&gt;0,'gadu šķirošana'!V82+'gadu šķirošana'!V84,0)</f>
        <v>0</v>
      </c>
      <c r="U10" s="764">
        <f>IF(Aprekini!V121&gt;0,'gadu šķirošana'!W82+'gadu šķirošana'!W84,0)</f>
        <v>0</v>
      </c>
      <c r="V10" s="764">
        <f>IF(Aprekini!W121&gt;0,'gadu šķirošana'!X82+'gadu šķirošana'!X84,0)</f>
        <v>0</v>
      </c>
      <c r="W10" s="764">
        <f>IF(Aprekini!X121&gt;0,'gadu šķirošana'!Y82+'gadu šķirošana'!Y84,0)</f>
        <v>0</v>
      </c>
      <c r="X10" s="764">
        <f>IF(Aprekini!Y121&gt;0,'gadu šķirošana'!Z82+'gadu šķirošana'!Z84,0)</f>
        <v>0</v>
      </c>
      <c r="Y10" s="764">
        <f>IF(Aprekini!Z121&gt;0,'gadu šķirošana'!AA82+'gadu šķirošana'!AA84,0)</f>
        <v>0</v>
      </c>
      <c r="Z10" s="764">
        <f>IF(Aprekini!AA121&gt;0,'gadu šķirošana'!AB82+'gadu šķirošana'!AB84,0)</f>
        <v>0</v>
      </c>
      <c r="AA10" s="764">
        <f>IF(Aprekini!AB121&gt;0,'gadu šķirošana'!AC82+'gadu šķirošana'!AC84,0)</f>
        <v>0</v>
      </c>
      <c r="AB10" s="764">
        <f>IF(Aprekini!AC121&gt;0,'gadu šķirošana'!AD82+'gadu šķirošana'!AD84,0)</f>
        <v>0</v>
      </c>
      <c r="AC10" s="764">
        <f>IF(Aprekini!AD121&gt;0,'gadu šķirošana'!AE82+'gadu šķirošana'!AE84,0)</f>
        <v>0</v>
      </c>
      <c r="AD10" s="764">
        <f>IF(Aprekini!AE121&gt;0,'gadu šķirošana'!AF82+'gadu šķirošana'!AF84,0)</f>
        <v>0</v>
      </c>
      <c r="AE10" s="764">
        <f>IF(Aprekini!AF121&gt;0,'gadu šķirošana'!AG82+'gadu šķirošana'!AG84,0)</f>
        <v>0</v>
      </c>
      <c r="AF10" s="764">
        <f>IF(Aprekini!AG121&gt;0,'gadu šķirošana'!AH82+'gadu šķirošana'!AH84,0)</f>
        <v>0</v>
      </c>
      <c r="AG10" s="764">
        <f>IF(Aprekini!AH121&gt;0,'gadu šķirošana'!AI82+'gadu šķirošana'!AI84,0)</f>
        <v>0</v>
      </c>
      <c r="AH10" s="764">
        <f>IF(Aprekini!AI121&gt;0,'gadu šķirošana'!AJ82+'gadu šķirošana'!AJ84,0)</f>
        <v>0</v>
      </c>
      <c r="AI10" s="764">
        <f>IF(Aprekini!AJ121&gt;0,'gadu šķirošana'!AK82+'gadu šķirošana'!AK84,0)</f>
        <v>0</v>
      </c>
    </row>
    <row r="11" spans="1:35" ht="12.75" x14ac:dyDescent="0.2">
      <c r="A11" s="178" t="s">
        <v>257</v>
      </c>
      <c r="B11" s="765">
        <f>SUM(B8:B10)</f>
        <v>100000</v>
      </c>
      <c r="C11" s="765">
        <f t="shared" ref="C11:AI11" si="1">SUM(C8:C10)</f>
        <v>100000</v>
      </c>
      <c r="D11" s="765">
        <f t="shared" si="1"/>
        <v>107000</v>
      </c>
      <c r="E11" s="765">
        <f t="shared" si="1"/>
        <v>106800</v>
      </c>
      <c r="F11" s="765">
        <f t="shared" si="1"/>
        <v>106600</v>
      </c>
      <c r="G11" s="765">
        <f t="shared" si="1"/>
        <v>106400</v>
      </c>
      <c r="H11" s="765">
        <f t="shared" si="1"/>
        <v>106200</v>
      </c>
      <c r="I11" s="765">
        <f t="shared" si="1"/>
        <v>106000</v>
      </c>
      <c r="J11" s="765">
        <f t="shared" si="1"/>
        <v>105800</v>
      </c>
      <c r="K11" s="765">
        <f t="shared" si="1"/>
        <v>20600</v>
      </c>
      <c r="L11" s="765">
        <f t="shared" si="1"/>
        <v>20400</v>
      </c>
      <c r="M11" s="765">
        <f t="shared" si="1"/>
        <v>20200</v>
      </c>
      <c r="N11" s="765">
        <f t="shared" si="1"/>
        <v>15000</v>
      </c>
      <c r="O11" s="765">
        <f t="shared" si="1"/>
        <v>15000</v>
      </c>
      <c r="P11" s="765">
        <f t="shared" si="1"/>
        <v>15000</v>
      </c>
      <c r="Q11" s="765">
        <f t="shared" si="1"/>
        <v>15000</v>
      </c>
      <c r="R11" s="765">
        <f t="shared" si="1"/>
        <v>15000</v>
      </c>
      <c r="S11" s="765">
        <f t="shared" si="1"/>
        <v>15000</v>
      </c>
      <c r="T11" s="765">
        <f t="shared" si="1"/>
        <v>15000</v>
      </c>
      <c r="U11" s="765">
        <f t="shared" si="1"/>
        <v>15000</v>
      </c>
      <c r="V11" s="765">
        <f t="shared" si="1"/>
        <v>15000</v>
      </c>
      <c r="W11" s="765">
        <f t="shared" si="1"/>
        <v>15000</v>
      </c>
      <c r="X11" s="765">
        <f t="shared" si="1"/>
        <v>15000</v>
      </c>
      <c r="Y11" s="765">
        <f t="shared" si="1"/>
        <v>15000</v>
      </c>
      <c r="Z11" s="765">
        <f t="shared" si="1"/>
        <v>15000</v>
      </c>
      <c r="AA11" s="765">
        <f t="shared" si="1"/>
        <v>15000</v>
      </c>
      <c r="AB11" s="765">
        <f t="shared" si="1"/>
        <v>15000</v>
      </c>
      <c r="AC11" s="765">
        <f t="shared" si="1"/>
        <v>15000</v>
      </c>
      <c r="AD11" s="765">
        <f t="shared" si="1"/>
        <v>15000</v>
      </c>
      <c r="AE11" s="765">
        <f t="shared" si="1"/>
        <v>15000</v>
      </c>
      <c r="AF11" s="765">
        <f t="shared" si="1"/>
        <v>15000</v>
      </c>
      <c r="AG11" s="765">
        <f t="shared" si="1"/>
        <v>15000</v>
      </c>
      <c r="AH11" s="765">
        <f t="shared" si="1"/>
        <v>15000</v>
      </c>
      <c r="AI11" s="765">
        <f t="shared" si="1"/>
        <v>15000</v>
      </c>
    </row>
    <row r="12" spans="1:35" ht="16.5" customHeight="1" x14ac:dyDescent="0.2">
      <c r="A12" s="40" t="s">
        <v>258</v>
      </c>
      <c r="B12" s="766"/>
      <c r="C12" s="766"/>
      <c r="D12" s="766"/>
      <c r="E12" s="766"/>
      <c r="F12" s="766"/>
      <c r="G12" s="766"/>
      <c r="H12" s="766"/>
      <c r="I12" s="766"/>
      <c r="J12" s="766"/>
      <c r="K12" s="766"/>
      <c r="L12" s="766"/>
      <c r="M12" s="767"/>
      <c r="N12" s="767"/>
      <c r="O12" s="767"/>
      <c r="P12" s="767"/>
      <c r="Q12" s="767"/>
      <c r="R12" s="767"/>
      <c r="S12" s="767"/>
      <c r="T12" s="767"/>
      <c r="U12" s="767"/>
      <c r="V12" s="767"/>
      <c r="W12" s="767"/>
      <c r="X12" s="767"/>
      <c r="Y12" s="767"/>
      <c r="Z12" s="768"/>
      <c r="AA12" s="768"/>
      <c r="AB12" s="768"/>
      <c r="AC12" s="768"/>
      <c r="AD12" s="768"/>
      <c r="AE12" s="768"/>
      <c r="AF12" s="768"/>
      <c r="AG12" s="768"/>
      <c r="AH12" s="768"/>
      <c r="AI12" s="768"/>
    </row>
    <row r="13" spans="1:35" ht="12.75" x14ac:dyDescent="0.2">
      <c r="A13" s="193" t="s">
        <v>419</v>
      </c>
      <c r="B13" s="763">
        <f>IF('Datu ievade'!$B$158='Datu ievade'!$AK$1,Aprekini!C306,0)</f>
        <v>0</v>
      </c>
      <c r="C13" s="763">
        <f>IF('Datu ievade'!$B$158='Datu ievade'!$AK$1,Aprekini!D306,0)</f>
        <v>0</v>
      </c>
      <c r="D13" s="763">
        <f>IF('Datu ievade'!$B$158='Datu ievade'!$AK$1,Aprekini!E306,0)</f>
        <v>0</v>
      </c>
      <c r="E13" s="763">
        <f>IF('Datu ievade'!$B$158='Datu ievade'!$AK$1,Aprekini!F306,0)</f>
        <v>0</v>
      </c>
      <c r="F13" s="763">
        <f>IF('Datu ievade'!$B$158='Datu ievade'!$AK$1,Aprekini!G306,0)</f>
        <v>0</v>
      </c>
      <c r="G13" s="763">
        <f>IF('Datu ievade'!$B$158='Datu ievade'!$AK$1,Aprekini!H306,0)</f>
        <v>0</v>
      </c>
      <c r="H13" s="763">
        <f>IF('Datu ievade'!$B$158='Datu ievade'!$AK$1,Aprekini!I306,0)</f>
        <v>0</v>
      </c>
      <c r="I13" s="763">
        <f>IF('Datu ievade'!$B$158='Datu ievade'!$AK$1,Aprekini!J306,0)</f>
        <v>0</v>
      </c>
      <c r="J13" s="763">
        <f>IF('Datu ievade'!$B$158='Datu ievade'!$AK$1,Aprekini!K306,0)</f>
        <v>0</v>
      </c>
      <c r="K13" s="763">
        <f>IF('Datu ievade'!$B$158='Datu ievade'!$AK$1,Aprekini!L306,0)</f>
        <v>0</v>
      </c>
      <c r="L13" s="763">
        <f>IF('Datu ievade'!$B$158='Datu ievade'!$AK$1,Aprekini!M306,0)</f>
        <v>0</v>
      </c>
      <c r="M13" s="763">
        <f>IF('Datu ievade'!$B$158='Datu ievade'!$AK$1,Aprekini!N306,0)</f>
        <v>0</v>
      </c>
      <c r="N13" s="763">
        <f>IF('Datu ievade'!$B$158='Datu ievade'!$AK$1,Aprekini!O306,0)</f>
        <v>0</v>
      </c>
      <c r="O13" s="763">
        <f>IF('Datu ievade'!$B$158='Datu ievade'!$AK$1,Aprekini!P306,0)</f>
        <v>0</v>
      </c>
      <c r="P13" s="763">
        <f>IF('Datu ievade'!$B$158='Datu ievade'!$AK$1,Aprekini!Q306,0)</f>
        <v>0</v>
      </c>
      <c r="Q13" s="763">
        <f>IF('Datu ievade'!$B$158='Datu ievade'!$AK$1,Aprekini!R306,0)</f>
        <v>0</v>
      </c>
      <c r="R13" s="763">
        <f>IF('Datu ievade'!$B$158='Datu ievade'!$AK$1,Aprekini!S306,0)</f>
        <v>0</v>
      </c>
      <c r="S13" s="763">
        <f>IF('Datu ievade'!$B$158='Datu ievade'!$AK$1,Aprekini!T306,0)</f>
        <v>0</v>
      </c>
      <c r="T13" s="763">
        <f>IF('Datu ievade'!$B$158='Datu ievade'!$AK$1,Aprekini!U306,0)</f>
        <v>0</v>
      </c>
      <c r="U13" s="763">
        <f>IF('Datu ievade'!$B$158='Datu ievade'!$AK$1,Aprekini!V306,0)</f>
        <v>0</v>
      </c>
      <c r="V13" s="763">
        <f>IF('Datu ievade'!$B$158='Datu ievade'!$AK$1,Aprekini!W306,0)</f>
        <v>0</v>
      </c>
      <c r="W13" s="763">
        <f>IF('Datu ievade'!$B$158='Datu ievade'!$AK$1,Aprekini!X306,0)</f>
        <v>0</v>
      </c>
      <c r="X13" s="763">
        <f>IF('Datu ievade'!$B$158='Datu ievade'!$AK$1,Aprekini!Y306,0)</f>
        <v>0</v>
      </c>
      <c r="Y13" s="763">
        <f>IF('Datu ievade'!$B$158='Datu ievade'!$AK$1,Aprekini!Z306,0)</f>
        <v>0</v>
      </c>
      <c r="Z13" s="763">
        <f>IF('Datu ievade'!$B$158='Datu ievade'!$AK$1,Aprekini!AA306,0)</f>
        <v>0</v>
      </c>
      <c r="AA13" s="763">
        <f>IF('Datu ievade'!$B$158='Datu ievade'!$AK$1,Aprekini!AB306,0)</f>
        <v>0</v>
      </c>
      <c r="AB13" s="763">
        <f>IF('Datu ievade'!$B$158='Datu ievade'!$AK$1,Aprekini!AC306,0)</f>
        <v>0</v>
      </c>
      <c r="AC13" s="763">
        <f>IF('Datu ievade'!$B$158='Datu ievade'!$AK$1,Aprekini!AD306,0)</f>
        <v>0</v>
      </c>
      <c r="AD13" s="763">
        <f>IF('Datu ievade'!$B$158='Datu ievade'!$AK$1,Aprekini!AE306,0)</f>
        <v>0</v>
      </c>
      <c r="AE13" s="763">
        <f>IF('Datu ievade'!$B$158='Datu ievade'!$AK$1,Aprekini!AF306,0)</f>
        <v>0</v>
      </c>
      <c r="AF13" s="763">
        <f>IF('Datu ievade'!$B$158='Datu ievade'!$AK$1,Aprekini!AG306,0)</f>
        <v>0</v>
      </c>
      <c r="AG13" s="763">
        <f>IF('Datu ievade'!$B$158='Datu ievade'!$AK$1,Aprekini!AH306,0)</f>
        <v>0</v>
      </c>
      <c r="AH13" s="763">
        <f>IF('Datu ievade'!$B$158='Datu ievade'!$AK$1,Aprekini!AI306,0)</f>
        <v>0</v>
      </c>
      <c r="AI13" s="763">
        <f>IF('Datu ievade'!$B$158='Datu ievade'!$AK$1,Aprekini!AJ306,0)</f>
        <v>0</v>
      </c>
    </row>
    <row r="14" spans="1:35" ht="12.75" x14ac:dyDescent="0.2">
      <c r="A14" s="178" t="s">
        <v>259</v>
      </c>
      <c r="B14" s="769">
        <f>SUM(B13:B13)</f>
        <v>0</v>
      </c>
      <c r="C14" s="769">
        <f t="shared" ref="C14:AH14" si="2">SUM(C13:C13)</f>
        <v>0</v>
      </c>
      <c r="D14" s="769">
        <f t="shared" si="2"/>
        <v>0</v>
      </c>
      <c r="E14" s="769">
        <f t="shared" si="2"/>
        <v>0</v>
      </c>
      <c r="F14" s="769">
        <f t="shared" si="2"/>
        <v>0</v>
      </c>
      <c r="G14" s="769">
        <f t="shared" si="2"/>
        <v>0</v>
      </c>
      <c r="H14" s="769">
        <f t="shared" si="2"/>
        <v>0</v>
      </c>
      <c r="I14" s="769">
        <f t="shared" si="2"/>
        <v>0</v>
      </c>
      <c r="J14" s="769">
        <f t="shared" si="2"/>
        <v>0</v>
      </c>
      <c r="K14" s="769">
        <f t="shared" si="2"/>
        <v>0</v>
      </c>
      <c r="L14" s="769">
        <f t="shared" si="2"/>
        <v>0</v>
      </c>
      <c r="M14" s="769">
        <f t="shared" si="2"/>
        <v>0</v>
      </c>
      <c r="N14" s="769">
        <f t="shared" si="2"/>
        <v>0</v>
      </c>
      <c r="O14" s="769">
        <f t="shared" si="2"/>
        <v>0</v>
      </c>
      <c r="P14" s="769">
        <f t="shared" si="2"/>
        <v>0</v>
      </c>
      <c r="Q14" s="769">
        <f t="shared" si="2"/>
        <v>0</v>
      </c>
      <c r="R14" s="769">
        <f t="shared" si="2"/>
        <v>0</v>
      </c>
      <c r="S14" s="769">
        <f t="shared" si="2"/>
        <v>0</v>
      </c>
      <c r="T14" s="769">
        <f t="shared" si="2"/>
        <v>0</v>
      </c>
      <c r="U14" s="769">
        <f t="shared" si="2"/>
        <v>0</v>
      </c>
      <c r="V14" s="769">
        <f t="shared" si="2"/>
        <v>0</v>
      </c>
      <c r="W14" s="769">
        <f t="shared" si="2"/>
        <v>0</v>
      </c>
      <c r="X14" s="769">
        <f t="shared" si="2"/>
        <v>0</v>
      </c>
      <c r="Y14" s="769">
        <f t="shared" si="2"/>
        <v>0</v>
      </c>
      <c r="Z14" s="769">
        <f t="shared" si="2"/>
        <v>0</v>
      </c>
      <c r="AA14" s="769">
        <f t="shared" si="2"/>
        <v>0</v>
      </c>
      <c r="AB14" s="769">
        <f t="shared" si="2"/>
        <v>0</v>
      </c>
      <c r="AC14" s="769">
        <f t="shared" si="2"/>
        <v>0</v>
      </c>
      <c r="AD14" s="769">
        <f t="shared" si="2"/>
        <v>0</v>
      </c>
      <c r="AE14" s="769">
        <f t="shared" si="2"/>
        <v>0</v>
      </c>
      <c r="AF14" s="769">
        <f t="shared" si="2"/>
        <v>0</v>
      </c>
      <c r="AG14" s="769">
        <f t="shared" si="2"/>
        <v>0</v>
      </c>
      <c r="AH14" s="769">
        <f t="shared" si="2"/>
        <v>0</v>
      </c>
      <c r="AI14" s="769">
        <f>SUM(AI13:AI13)</f>
        <v>0</v>
      </c>
    </row>
    <row r="15" spans="1:35" ht="12.75" x14ac:dyDescent="0.2">
      <c r="A15" s="178" t="s">
        <v>260</v>
      </c>
      <c r="B15" s="769">
        <f>SUM(B11,B14)</f>
        <v>100000</v>
      </c>
      <c r="C15" s="769">
        <f>SUM(C11,C14)</f>
        <v>100000</v>
      </c>
      <c r="D15" s="769">
        <f t="shared" ref="D15:AH15" si="3">SUM(D11,D14)</f>
        <v>107000</v>
      </c>
      <c r="E15" s="769">
        <f t="shared" si="3"/>
        <v>106800</v>
      </c>
      <c r="F15" s="769">
        <f t="shared" si="3"/>
        <v>106600</v>
      </c>
      <c r="G15" s="769">
        <f t="shared" si="3"/>
        <v>106400</v>
      </c>
      <c r="H15" s="769">
        <f t="shared" si="3"/>
        <v>106200</v>
      </c>
      <c r="I15" s="769">
        <f t="shared" si="3"/>
        <v>106000</v>
      </c>
      <c r="J15" s="769">
        <f t="shared" si="3"/>
        <v>105800</v>
      </c>
      <c r="K15" s="769">
        <f t="shared" si="3"/>
        <v>20600</v>
      </c>
      <c r="L15" s="769">
        <f t="shared" si="3"/>
        <v>20400</v>
      </c>
      <c r="M15" s="769">
        <f t="shared" si="3"/>
        <v>20200</v>
      </c>
      <c r="N15" s="769">
        <f t="shared" si="3"/>
        <v>15000</v>
      </c>
      <c r="O15" s="769">
        <f t="shared" si="3"/>
        <v>15000</v>
      </c>
      <c r="P15" s="769">
        <f t="shared" si="3"/>
        <v>15000</v>
      </c>
      <c r="Q15" s="769">
        <f t="shared" si="3"/>
        <v>15000</v>
      </c>
      <c r="R15" s="769">
        <f t="shared" si="3"/>
        <v>15000</v>
      </c>
      <c r="S15" s="769">
        <f t="shared" si="3"/>
        <v>15000</v>
      </c>
      <c r="T15" s="769">
        <f t="shared" si="3"/>
        <v>15000</v>
      </c>
      <c r="U15" s="769">
        <f t="shared" si="3"/>
        <v>15000</v>
      </c>
      <c r="V15" s="769">
        <f t="shared" si="3"/>
        <v>15000</v>
      </c>
      <c r="W15" s="769">
        <f t="shared" si="3"/>
        <v>15000</v>
      </c>
      <c r="X15" s="769">
        <f t="shared" si="3"/>
        <v>15000</v>
      </c>
      <c r="Y15" s="769">
        <f t="shared" si="3"/>
        <v>15000</v>
      </c>
      <c r="Z15" s="769">
        <f t="shared" si="3"/>
        <v>15000</v>
      </c>
      <c r="AA15" s="769">
        <f t="shared" si="3"/>
        <v>15000</v>
      </c>
      <c r="AB15" s="769">
        <f t="shared" si="3"/>
        <v>15000</v>
      </c>
      <c r="AC15" s="769">
        <f t="shared" si="3"/>
        <v>15000</v>
      </c>
      <c r="AD15" s="769">
        <f t="shared" si="3"/>
        <v>15000</v>
      </c>
      <c r="AE15" s="769">
        <f t="shared" si="3"/>
        <v>15000</v>
      </c>
      <c r="AF15" s="769">
        <f t="shared" si="3"/>
        <v>15000</v>
      </c>
      <c r="AG15" s="769">
        <f t="shared" si="3"/>
        <v>15000</v>
      </c>
      <c r="AH15" s="769">
        <f t="shared" si="3"/>
        <v>15000</v>
      </c>
      <c r="AI15" s="769">
        <f>SUM(AI11,AI14)</f>
        <v>15000</v>
      </c>
    </row>
    <row r="16" spans="1:35" ht="12.75" x14ac:dyDescent="0.2">
      <c r="A16" s="178" t="s">
        <v>261</v>
      </c>
      <c r="B16" s="769">
        <f>'gadu šķirošana'!D70</f>
        <v>17700600</v>
      </c>
      <c r="C16" s="769">
        <f>'gadu šķirošana'!E70</f>
        <v>17700600</v>
      </c>
      <c r="D16" s="769">
        <f>'gadu šķirošana'!F70</f>
        <v>17700600</v>
      </c>
      <c r="E16" s="769">
        <f>'gadu šķirošana'!G70</f>
        <v>17700600</v>
      </c>
      <c r="F16" s="769">
        <f>'gadu šķirošana'!H70</f>
        <v>17700600</v>
      </c>
      <c r="G16" s="769">
        <f>'gadu šķirošana'!I70</f>
        <v>17700600</v>
      </c>
      <c r="H16" s="769">
        <f>'gadu šķirošana'!J70</f>
        <v>17700600</v>
      </c>
      <c r="I16" s="769">
        <f>'gadu šķirošana'!K70</f>
        <v>17700600</v>
      </c>
      <c r="J16" s="769">
        <f>'gadu šķirošana'!L70</f>
        <v>17700600</v>
      </c>
      <c r="K16" s="769">
        <f>'gadu šķirošana'!M70</f>
        <v>17700600</v>
      </c>
      <c r="L16" s="769">
        <f>'gadu šķirošana'!N70</f>
        <v>17700600</v>
      </c>
      <c r="M16" s="769">
        <f>'gadu šķirošana'!O70</f>
        <v>17700600</v>
      </c>
      <c r="N16" s="769">
        <f>'gadu šķirošana'!P70</f>
        <v>17700600</v>
      </c>
      <c r="O16" s="769">
        <f>'gadu šķirošana'!Q70</f>
        <v>17700600</v>
      </c>
      <c r="P16" s="769">
        <f>'gadu šķirošana'!R70</f>
        <v>17700600</v>
      </c>
      <c r="Q16" s="769">
        <f>'gadu šķirošana'!S70</f>
        <v>17700600</v>
      </c>
      <c r="R16" s="769">
        <f>'gadu šķirošana'!T70</f>
        <v>17700600</v>
      </c>
      <c r="S16" s="769">
        <f>'gadu šķirošana'!U70</f>
        <v>17700600</v>
      </c>
      <c r="T16" s="769">
        <f>'gadu šķirošana'!V70</f>
        <v>17700600</v>
      </c>
      <c r="U16" s="769">
        <f>'gadu šķirošana'!W70</f>
        <v>17700600</v>
      </c>
      <c r="V16" s="769">
        <f>'gadu šķirošana'!X70</f>
        <v>17700600</v>
      </c>
      <c r="W16" s="769">
        <f>'gadu šķirošana'!Y70</f>
        <v>17700600</v>
      </c>
      <c r="X16" s="769">
        <f>'gadu šķirošana'!Z70</f>
        <v>17700600</v>
      </c>
      <c r="Y16" s="769">
        <f>'gadu šķirošana'!AA70</f>
        <v>17700600</v>
      </c>
      <c r="Z16" s="769">
        <f>'gadu šķirošana'!AB70</f>
        <v>17700600</v>
      </c>
      <c r="AA16" s="769">
        <f>'gadu šķirošana'!AC70</f>
        <v>17700600</v>
      </c>
      <c r="AB16" s="769">
        <f>'gadu šķirošana'!AD70</f>
        <v>17700600</v>
      </c>
      <c r="AC16" s="769">
        <f>'gadu šķirošana'!AE70</f>
        <v>17700600</v>
      </c>
      <c r="AD16" s="769">
        <f>'gadu šķirošana'!AF70</f>
        <v>17700600</v>
      </c>
      <c r="AE16" s="769">
        <f>'gadu šķirošana'!AG70</f>
        <v>17700600</v>
      </c>
      <c r="AF16" s="769">
        <f>'gadu šķirošana'!AH70</f>
        <v>17700600</v>
      </c>
      <c r="AG16" s="769">
        <f>'gadu šķirošana'!AI70</f>
        <v>17700600</v>
      </c>
      <c r="AH16" s="769">
        <f>'gadu šķirošana'!AJ70</f>
        <v>17700600</v>
      </c>
      <c r="AI16" s="769">
        <f>'gadu šķirošana'!AK70</f>
        <v>17700600</v>
      </c>
    </row>
    <row r="17" spans="1:35" ht="12.75" x14ac:dyDescent="0.2">
      <c r="A17" s="290" t="s">
        <v>262</v>
      </c>
      <c r="B17" s="291">
        <f t="shared" ref="B17:AG17" si="4">IF(B16=0,"Nav pašu ieņēmumu",B15/B16)</f>
        <v>5.6495260047681999E-3</v>
      </c>
      <c r="C17" s="291">
        <f t="shared" si="4"/>
        <v>5.6495260047681999E-3</v>
      </c>
      <c r="D17" s="291">
        <f t="shared" si="4"/>
        <v>6.0449928251019736E-3</v>
      </c>
      <c r="E17" s="291">
        <f t="shared" si="4"/>
        <v>6.0336937730924379E-3</v>
      </c>
      <c r="F17" s="291">
        <f t="shared" si="4"/>
        <v>6.0223947210829012E-3</v>
      </c>
      <c r="G17" s="291">
        <f t="shared" si="4"/>
        <v>6.0110956690733646E-3</v>
      </c>
      <c r="H17" s="291">
        <f t="shared" si="4"/>
        <v>5.9997966170638279E-3</v>
      </c>
      <c r="I17" s="291">
        <f t="shared" si="4"/>
        <v>5.9884975650542922E-3</v>
      </c>
      <c r="J17" s="291">
        <f t="shared" si="4"/>
        <v>5.9771985130447555E-3</v>
      </c>
      <c r="K17" s="291">
        <f t="shared" si="4"/>
        <v>1.1638023569822491E-3</v>
      </c>
      <c r="L17" s="291">
        <f t="shared" si="4"/>
        <v>1.1525033049727127E-3</v>
      </c>
      <c r="M17" s="291">
        <f t="shared" si="4"/>
        <v>1.1412042529631765E-3</v>
      </c>
      <c r="N17" s="291">
        <f t="shared" si="4"/>
        <v>8.4742890071522995E-4</v>
      </c>
      <c r="O17" s="291">
        <f t="shared" si="4"/>
        <v>8.4742890071522995E-4</v>
      </c>
      <c r="P17" s="291">
        <f t="shared" si="4"/>
        <v>8.4742890071522995E-4</v>
      </c>
      <c r="Q17" s="291">
        <f t="shared" si="4"/>
        <v>8.4742890071522995E-4</v>
      </c>
      <c r="R17" s="291">
        <f t="shared" si="4"/>
        <v>8.4742890071522995E-4</v>
      </c>
      <c r="S17" s="291">
        <f t="shared" si="4"/>
        <v>8.4742890071522995E-4</v>
      </c>
      <c r="T17" s="291">
        <f t="shared" si="4"/>
        <v>8.4742890071522995E-4</v>
      </c>
      <c r="U17" s="291">
        <f t="shared" si="4"/>
        <v>8.4742890071522995E-4</v>
      </c>
      <c r="V17" s="291">
        <f t="shared" si="4"/>
        <v>8.4742890071522995E-4</v>
      </c>
      <c r="W17" s="291">
        <f t="shared" si="4"/>
        <v>8.4742890071522995E-4</v>
      </c>
      <c r="X17" s="291">
        <f t="shared" si="4"/>
        <v>8.4742890071522995E-4</v>
      </c>
      <c r="Y17" s="291">
        <f t="shared" si="4"/>
        <v>8.4742890071522995E-4</v>
      </c>
      <c r="Z17" s="291">
        <f t="shared" si="4"/>
        <v>8.4742890071522995E-4</v>
      </c>
      <c r="AA17" s="291">
        <f t="shared" si="4"/>
        <v>8.4742890071522995E-4</v>
      </c>
      <c r="AB17" s="291">
        <f t="shared" si="4"/>
        <v>8.4742890071522995E-4</v>
      </c>
      <c r="AC17" s="291">
        <f t="shared" si="4"/>
        <v>8.4742890071522995E-4</v>
      </c>
      <c r="AD17" s="291">
        <f t="shared" si="4"/>
        <v>8.4742890071522995E-4</v>
      </c>
      <c r="AE17" s="291">
        <f t="shared" si="4"/>
        <v>8.4742890071522995E-4</v>
      </c>
      <c r="AF17" s="291">
        <f t="shared" si="4"/>
        <v>8.4742890071522995E-4</v>
      </c>
      <c r="AG17" s="291">
        <f t="shared" si="4"/>
        <v>8.4742890071522995E-4</v>
      </c>
      <c r="AH17" s="291">
        <f>IF(AH16=0,"Nav pašu ieņēmumu",AH15/AH16)</f>
        <v>8.4742890071522995E-4</v>
      </c>
      <c r="AI17" s="291">
        <f>IF(AI16=0,"Nav pašu ieņēmumu",AI15/AI16)</f>
        <v>8.4742890071522995E-4</v>
      </c>
    </row>
    <row r="18" spans="1:35" s="136" customFormat="1" ht="12.75" x14ac:dyDescent="0.2"/>
    <row r="19" spans="1:35" s="258" customFormat="1" ht="25.5" x14ac:dyDescent="0.2">
      <c r="A19" s="98" t="s">
        <v>625</v>
      </c>
      <c r="B19" s="396">
        <v>0.2</v>
      </c>
    </row>
    <row r="20" spans="1:35" s="258" customFormat="1" x14ac:dyDescent="0.2"/>
    <row r="21" spans="1:35" s="258" customFormat="1" ht="18" x14ac:dyDescent="0.2">
      <c r="A21" s="292"/>
    </row>
    <row r="22" spans="1:35" s="258" customFormat="1" ht="15" customHeight="1" x14ac:dyDescent="0.2">
      <c r="A22" s="292"/>
      <c r="B22" s="293"/>
      <c r="C22" s="293"/>
      <c r="D22" s="293"/>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row>
    <row r="23" spans="1:35" s="258" customFormat="1" ht="12.75" x14ac:dyDescent="0.2">
      <c r="A23" s="294"/>
    </row>
    <row r="24" spans="1:35" s="258" customFormat="1" ht="12.75" x14ac:dyDescent="0.2">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row>
    <row r="25" spans="1:35" s="258" customFormat="1" ht="12.75" x14ac:dyDescent="0.2">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row>
    <row r="26" spans="1:35" s="258" customFormat="1" ht="12.75" x14ac:dyDescent="0.2">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row>
    <row r="27" spans="1:35" s="258" customFormat="1" ht="12.75" x14ac:dyDescent="0.2">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row>
    <row r="28" spans="1:35" s="258" customFormat="1" ht="12.75" x14ac:dyDescent="0.2">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row>
    <row r="29" spans="1:35" s="258" customFormat="1" ht="12.75" x14ac:dyDescent="0.2">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row>
    <row r="30" spans="1:35" s="258" customFormat="1" ht="12.75" x14ac:dyDescent="0.2">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row>
    <row r="31" spans="1:35" s="258" customFormat="1" ht="12.75" x14ac:dyDescent="0.2">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row>
    <row r="32" spans="1:35" s="258" customFormat="1" ht="12.75" x14ac:dyDescent="0.2">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row>
    <row r="33" spans="1:35" s="258" customFormat="1" ht="12.75" x14ac:dyDescent="0.2">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row>
    <row r="34" spans="1:35" s="258" customFormat="1" ht="12.75" x14ac:dyDescent="0.2">
      <c r="A34" s="295"/>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row>
    <row r="35" spans="1:35" s="258" customFormat="1" ht="12.75" x14ac:dyDescent="0.2">
      <c r="A35" s="295"/>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row>
    <row r="36" spans="1:35" s="258" customFormat="1" ht="12.75" x14ac:dyDescent="0.2">
      <c r="A36" s="294"/>
      <c r="B36" s="296"/>
      <c r="C36" s="296"/>
      <c r="D36" s="296"/>
      <c r="E36" s="296"/>
      <c r="F36" s="296"/>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7"/>
    </row>
    <row r="37" spans="1:35" s="258" customFormat="1" ht="12.75" x14ac:dyDescent="0.2">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row>
    <row r="38" spans="1:35" s="258" customFormat="1" ht="12.75" x14ac:dyDescent="0.2">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row>
    <row r="39" spans="1:35" s="258" customFormat="1" ht="12.75" x14ac:dyDescent="0.2">
      <c r="A39" s="295"/>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row>
    <row r="40" spans="1:35" s="258" customFormat="1" ht="12.75" x14ac:dyDescent="0.2">
      <c r="A40" s="294"/>
      <c r="B40" s="296"/>
      <c r="C40" s="296"/>
      <c r="D40" s="296"/>
      <c r="E40" s="296"/>
      <c r="F40" s="296"/>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row>
    <row r="41" spans="1:35" s="258" customFormat="1" ht="12.75" x14ac:dyDescent="0.2">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row>
    <row r="42" spans="1:35" s="258" customFormat="1" ht="12.75" x14ac:dyDescent="0.2">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row>
    <row r="43" spans="1:35" s="258" customFormat="1" ht="12.75" x14ac:dyDescent="0.2">
      <c r="A43" s="163"/>
      <c r="B43" s="298"/>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row>
    <row r="44" spans="1:35" s="258" customFormat="1" ht="12.75" x14ac:dyDescent="0.2">
      <c r="A44" s="163"/>
      <c r="B44" s="298"/>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row>
    <row r="45" spans="1:35" s="258" customFormat="1" ht="12.75" x14ac:dyDescent="0.2">
      <c r="A45" s="163"/>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row>
    <row r="46" spans="1:35" s="258" customFormat="1" ht="12.75" x14ac:dyDescent="0.2">
      <c r="A46" s="163"/>
      <c r="B46" s="299"/>
      <c r="C46" s="299"/>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row>
    <row r="47" spans="1:35" s="258" customFormat="1" x14ac:dyDescent="0.2"/>
    <row r="48" spans="1:35" s="258" customFormat="1" x14ac:dyDescent="0.2"/>
    <row r="49" spans="1:35" s="258" customFormat="1" ht="15.75" x14ac:dyDescent="0.2">
      <c r="A49" s="300"/>
    </row>
    <row r="50" spans="1:35" s="258" customFormat="1" ht="36" customHeight="1" x14ac:dyDescent="0.2">
      <c r="A50" s="301"/>
      <c r="B50" s="302"/>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row>
    <row r="51" spans="1:35" s="258" customFormat="1" ht="40.5" customHeight="1" x14ac:dyDescent="0.2">
      <c r="A51" s="301"/>
      <c r="B51" s="303"/>
      <c r="C51" s="303"/>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3"/>
      <c r="AE51" s="303"/>
      <c r="AF51" s="303"/>
      <c r="AG51" s="303"/>
      <c r="AH51" s="303"/>
      <c r="AI51" s="303"/>
    </row>
    <row r="52" spans="1:35" s="258" customFormat="1" x14ac:dyDescent="0.2"/>
    <row r="53" spans="1:35" s="258" customFormat="1" x14ac:dyDescent="0.2"/>
    <row r="54" spans="1:35" s="258" customFormat="1" x14ac:dyDescent="0.2"/>
    <row r="55" spans="1:35" s="258" customFormat="1" x14ac:dyDescent="0.2"/>
    <row r="56" spans="1:35" s="258" customFormat="1" x14ac:dyDescent="0.2"/>
    <row r="57" spans="1:35" s="258" customFormat="1" x14ac:dyDescent="0.2"/>
  </sheetData>
  <sheetProtection algorithmName="SHA-512" hashValue="wzy9HeDdD6wKQB5xou+mM4ncKoS50m3lM4I+5mm29krcg3E5dndoGXZzR0cneP7CVWM8i5X2mwVaop20gNFG5g==" saltValue="CNHLU6JT+rQc2ZUrQvlJqA==" spinCount="100000" sheet="1" objects="1" scenarios="1"/>
  <mergeCells count="1">
    <mergeCell ref="A1:D1"/>
  </mergeCells>
  <phoneticPr fontId="2" type="noConversion"/>
  <printOptions horizontalCentered="1"/>
  <pageMargins left="0.59027777777777779" right="0.59027777777777779" top="0.75" bottom="0.88888888888888884" header="0.51180555555555551" footer="0.75"/>
  <pageSetup paperSize="9" scale="59" firstPageNumber="0" orientation="landscape" horizontalDpi="300" verticalDpi="300"/>
  <headerFooter alignWithMargins="0">
    <oddFooter>&amp;L&amp;A&amp;R&amp;P</oddFooter>
  </headerFooter>
  <colBreaks count="1" manualBreakCount="1">
    <brk id="1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59999389629810485"/>
  </sheetPr>
  <dimension ref="A1:AI40"/>
  <sheetViews>
    <sheetView showGridLines="0" zoomScaleSheetLayoutView="90" workbookViewId="0">
      <pane xSplit="1" topLeftCell="B1" activePane="topRight" state="frozen"/>
      <selection pane="topRight" activeCell="H3" sqref="H3"/>
    </sheetView>
  </sheetViews>
  <sheetFormatPr defaultColWidth="9.140625" defaultRowHeight="11.25" outlineLevelRow="1" x14ac:dyDescent="0.2"/>
  <cols>
    <col min="1" max="1" width="60.140625" style="157" customWidth="1"/>
    <col min="2" max="2" width="10.140625" style="157" customWidth="1"/>
    <col min="3" max="34" width="9.140625" style="157"/>
    <col min="35" max="35" width="9.140625" style="157" customWidth="1"/>
    <col min="36" max="16384" width="9.140625" style="157"/>
  </cols>
  <sheetData>
    <row r="1" spans="1:35" s="304" customFormat="1" ht="20.25" x14ac:dyDescent="0.2">
      <c r="A1" s="304" t="s">
        <v>512</v>
      </c>
    </row>
    <row r="2" spans="1:35" ht="16.5" x14ac:dyDescent="0.2">
      <c r="A2" s="24">
        <f>'Datu ievade'!$B$10</f>
        <v>0</v>
      </c>
      <c r="B2" s="25">
        <f>'Datu ievade'!$B$11</f>
        <v>0</v>
      </c>
    </row>
    <row r="3" spans="1:35" ht="12.75" x14ac:dyDescent="0.2">
      <c r="A3" s="26"/>
    </row>
    <row r="4" spans="1:35" s="235" customFormat="1" ht="18" x14ac:dyDescent="0.2">
      <c r="A4" s="238" t="s">
        <v>230</v>
      </c>
      <c r="B4" s="182"/>
      <c r="C4" s="182"/>
      <c r="D4" s="182"/>
      <c r="E4" s="182"/>
      <c r="F4" s="182"/>
      <c r="G4" s="182"/>
      <c r="H4" s="182"/>
      <c r="I4" s="182"/>
      <c r="J4" s="182"/>
      <c r="K4" s="182"/>
      <c r="L4" s="182"/>
      <c r="M4" s="182"/>
      <c r="N4" s="182"/>
      <c r="O4" s="182"/>
      <c r="P4" s="972"/>
      <c r="Q4" s="972"/>
      <c r="R4" s="972"/>
      <c r="S4" s="972"/>
      <c r="T4" s="972"/>
      <c r="U4" s="972"/>
      <c r="V4" s="972"/>
      <c r="W4" s="972"/>
      <c r="X4" s="972"/>
      <c r="Y4" s="972"/>
      <c r="Z4" s="972"/>
      <c r="AA4" s="972"/>
      <c r="AB4" s="972"/>
      <c r="AC4" s="972"/>
      <c r="AD4" s="972"/>
      <c r="AE4" s="972"/>
      <c r="AF4" s="972"/>
      <c r="AG4" s="972"/>
      <c r="AH4" s="972"/>
      <c r="AI4" s="972"/>
    </row>
    <row r="5" spans="1:35" ht="12.75" x14ac:dyDescent="0.2">
      <c r="A5" s="973"/>
      <c r="B5" s="118"/>
      <c r="C5" s="118"/>
      <c r="D5" s="118"/>
      <c r="E5" s="118"/>
      <c r="F5" s="118"/>
      <c r="G5" s="118"/>
      <c r="H5" s="118"/>
      <c r="I5" s="118"/>
      <c r="J5" s="118"/>
      <c r="K5" s="118"/>
      <c r="L5" s="118"/>
      <c r="M5" s="118"/>
      <c r="N5" s="118"/>
      <c r="O5" s="118"/>
      <c r="P5" s="974"/>
      <c r="Q5" s="118" t="s">
        <v>16</v>
      </c>
      <c r="R5" s="974"/>
      <c r="S5" s="974"/>
      <c r="T5" s="974"/>
      <c r="U5" s="974"/>
      <c r="V5" s="974"/>
      <c r="W5" s="974"/>
      <c r="X5" s="974"/>
      <c r="Y5" s="974"/>
      <c r="Z5" s="974"/>
      <c r="AA5" s="974"/>
      <c r="AB5" s="974"/>
      <c r="AC5" s="974"/>
      <c r="AD5" s="974"/>
      <c r="AE5" s="974"/>
      <c r="AF5" s="974"/>
      <c r="AG5" s="974"/>
      <c r="AH5" s="974"/>
      <c r="AI5" s="974"/>
    </row>
    <row r="6" spans="1:35" ht="12.75" x14ac:dyDescent="0.2">
      <c r="A6" s="975" t="s">
        <v>97</v>
      </c>
      <c r="B6" s="976">
        <f>Aprekini!B5</f>
        <v>2019</v>
      </c>
      <c r="C6" s="976">
        <f t="shared" ref="C6:AG6" si="0">B6+1</f>
        <v>2020</v>
      </c>
      <c r="D6" s="976">
        <f t="shared" si="0"/>
        <v>2021</v>
      </c>
      <c r="E6" s="976">
        <f t="shared" si="0"/>
        <v>2022</v>
      </c>
      <c r="F6" s="976">
        <f t="shared" si="0"/>
        <v>2023</v>
      </c>
      <c r="G6" s="976">
        <f t="shared" si="0"/>
        <v>2024</v>
      </c>
      <c r="H6" s="976">
        <f t="shared" si="0"/>
        <v>2025</v>
      </c>
      <c r="I6" s="976">
        <f t="shared" si="0"/>
        <v>2026</v>
      </c>
      <c r="J6" s="976">
        <f t="shared" si="0"/>
        <v>2027</v>
      </c>
      <c r="K6" s="976">
        <f t="shared" si="0"/>
        <v>2028</v>
      </c>
      <c r="L6" s="976">
        <f t="shared" si="0"/>
        <v>2029</v>
      </c>
      <c r="M6" s="976">
        <f t="shared" si="0"/>
        <v>2030</v>
      </c>
      <c r="N6" s="976">
        <f t="shared" si="0"/>
        <v>2031</v>
      </c>
      <c r="O6" s="976">
        <f t="shared" si="0"/>
        <v>2032</v>
      </c>
      <c r="P6" s="976">
        <f t="shared" si="0"/>
        <v>2033</v>
      </c>
      <c r="Q6" s="976">
        <f t="shared" si="0"/>
        <v>2034</v>
      </c>
      <c r="R6" s="976">
        <f t="shared" si="0"/>
        <v>2035</v>
      </c>
      <c r="S6" s="976">
        <f t="shared" si="0"/>
        <v>2036</v>
      </c>
      <c r="T6" s="976">
        <f t="shared" si="0"/>
        <v>2037</v>
      </c>
      <c r="U6" s="977">
        <f t="shared" si="0"/>
        <v>2038</v>
      </c>
      <c r="V6" s="977">
        <f t="shared" si="0"/>
        <v>2039</v>
      </c>
      <c r="W6" s="977">
        <f t="shared" si="0"/>
        <v>2040</v>
      </c>
      <c r="X6" s="977">
        <f t="shared" si="0"/>
        <v>2041</v>
      </c>
      <c r="Y6" s="977">
        <f t="shared" si="0"/>
        <v>2042</v>
      </c>
      <c r="Z6" s="977">
        <f t="shared" si="0"/>
        <v>2043</v>
      </c>
      <c r="AA6" s="977">
        <f t="shared" si="0"/>
        <v>2044</v>
      </c>
      <c r="AB6" s="977">
        <f t="shared" si="0"/>
        <v>2045</v>
      </c>
      <c r="AC6" s="977">
        <f t="shared" si="0"/>
        <v>2046</v>
      </c>
      <c r="AD6" s="977">
        <f t="shared" si="0"/>
        <v>2047</v>
      </c>
      <c r="AE6" s="977">
        <f t="shared" si="0"/>
        <v>2048</v>
      </c>
      <c r="AF6" s="977">
        <f t="shared" si="0"/>
        <v>2049</v>
      </c>
      <c r="AG6" s="977">
        <f t="shared" si="0"/>
        <v>2050</v>
      </c>
      <c r="AH6" s="977">
        <f>AG6+1</f>
        <v>2051</v>
      </c>
      <c r="AI6" s="977">
        <f>AH6+1</f>
        <v>2052</v>
      </c>
    </row>
    <row r="7" spans="1:35" ht="14.25" customHeight="1" x14ac:dyDescent="0.2">
      <c r="A7" s="132" t="s">
        <v>295</v>
      </c>
      <c r="B7" s="709">
        <f>'Datu ievade'!B139*'Datu ievade'!B140</f>
        <v>450</v>
      </c>
      <c r="C7" s="709">
        <f>$B$7*HLOOKUP(C6,'Kopējie pieņēmumi'!$B$5:$AH$15,6)</f>
        <v>463.5</v>
      </c>
      <c r="D7" s="731">
        <f>$B$7*HLOOKUP(D6,'Kopējie pieņēmumi'!$B$5:$AH$15,6)</f>
        <v>477</v>
      </c>
      <c r="E7" s="731">
        <f>$B$7*HLOOKUP(E6,'Kopējie pieņēmumi'!$B$5:$AH$15,6)</f>
        <v>490.50000000000006</v>
      </c>
      <c r="F7" s="731">
        <f>$B$7*HLOOKUP(F6,'Kopējie pieņēmumi'!$B$5:$AH$15,6)</f>
        <v>499.50000000000006</v>
      </c>
      <c r="G7" s="731">
        <f>$B$7*HLOOKUP(G6,'Kopējie pieņēmumi'!$B$5:$AH$15,6)</f>
        <v>508.49999999999994</v>
      </c>
      <c r="H7" s="731">
        <f>$B$7*HLOOKUP(H6,'Kopējie pieņēmumi'!$B$5:$AH$15,6)</f>
        <v>517.5</v>
      </c>
      <c r="I7" s="731">
        <f>$B$7*HLOOKUP(I6,'Kopējie pieņēmumi'!$B$5:$AH$15,6)</f>
        <v>526.5</v>
      </c>
      <c r="J7" s="731">
        <f>$B$7*HLOOKUP(J6,'Kopējie pieņēmumi'!$B$5:$AH$15,6)</f>
        <v>535.5</v>
      </c>
      <c r="K7" s="731">
        <f>$B$7*HLOOKUP(K6,'Kopējie pieņēmumi'!$B$5:$AH$15,6)</f>
        <v>544.5</v>
      </c>
      <c r="L7" s="731">
        <f>$B$7*HLOOKUP(L6,'Kopējie pieņēmumi'!$B$5:$AH$15,6)</f>
        <v>558</v>
      </c>
      <c r="M7" s="731">
        <f>$B$7*HLOOKUP(M6,'Kopējie pieņēmumi'!$B$5:$AH$15,6)</f>
        <v>571.5</v>
      </c>
      <c r="N7" s="731">
        <f>$B$7*HLOOKUP(N6,'Kopējie pieņēmumi'!$B$5:$AH$15,6)</f>
        <v>585</v>
      </c>
      <c r="O7" s="731">
        <f>$B$7*HLOOKUP(O6,'Kopējie pieņēmumi'!$B$5:$AH$15,6)</f>
        <v>598.5</v>
      </c>
      <c r="P7" s="731">
        <f>$B$7*HLOOKUP(P6,'Kopējie pieņēmumi'!$B$5:$AH$15,6)</f>
        <v>612</v>
      </c>
      <c r="Q7" s="731">
        <f>$B$7*HLOOKUP(Q6,'Kopējie pieņēmumi'!$B$5:$AH$15,6)</f>
        <v>625.5</v>
      </c>
      <c r="R7" s="731">
        <f>$B$7*HLOOKUP(R6,'Kopējie pieņēmumi'!$B$5:$AH$15,6)</f>
        <v>639</v>
      </c>
      <c r="S7" s="731">
        <f>$B$7*HLOOKUP(S6,'Kopējie pieņēmumi'!$B$5:$AH$15,6)</f>
        <v>652.5</v>
      </c>
      <c r="T7" s="731">
        <f>$B$7*HLOOKUP(T6,'Kopējie pieņēmumi'!$B$5:$AH$15,6)</f>
        <v>666</v>
      </c>
      <c r="U7" s="731">
        <f>$B$7*HLOOKUP(U6,'Kopējie pieņēmumi'!$B$5:$AH$15,6)</f>
        <v>679.5</v>
      </c>
      <c r="V7" s="731">
        <f>$B$7*HLOOKUP(V6,'Kopējie pieņēmumi'!$B$5:$AH$15,6)</f>
        <v>693</v>
      </c>
      <c r="W7" s="731">
        <f>$B$7*HLOOKUP(W6,'Kopējie pieņēmumi'!$B$5:$AH$15,6)</f>
        <v>706.5</v>
      </c>
      <c r="X7" s="731">
        <f>$B$7*HLOOKUP(X6,'Kopējie pieņēmumi'!$B$5:$AH$15,6)</f>
        <v>720</v>
      </c>
      <c r="Y7" s="731">
        <f>$B$7*HLOOKUP(Y6,'Kopējie pieņēmumi'!$B$5:$AH$15,6)</f>
        <v>733.5</v>
      </c>
      <c r="Z7" s="731">
        <f>$B$7*HLOOKUP(Z6,'Kopējie pieņēmumi'!$B$5:$AH$15,6)</f>
        <v>747</v>
      </c>
      <c r="AA7" s="731">
        <f>$B$7*HLOOKUP(AA6,'Kopējie pieņēmumi'!$B$5:$AH$15,6)</f>
        <v>760.5</v>
      </c>
      <c r="AB7" s="731">
        <f>$B$7*HLOOKUP(AB6,'Kopējie pieņēmumi'!$B$5:$AH$15,6)</f>
        <v>778.5</v>
      </c>
      <c r="AC7" s="731">
        <f>$B$7*HLOOKUP(AC6,'Kopējie pieņēmumi'!$B$5:$AH$15,6)</f>
        <v>796.5</v>
      </c>
      <c r="AD7" s="731">
        <f>$B$7*HLOOKUP(AD6,'Kopējie pieņēmumi'!$B$5:$AH$15,6)</f>
        <v>814.5</v>
      </c>
      <c r="AE7" s="731">
        <f>$B$7*HLOOKUP(AE6,'Kopējie pieņēmumi'!$B$5:$AH$15,6)</f>
        <v>832.5</v>
      </c>
      <c r="AF7" s="731">
        <f>$B$7*HLOOKUP(AF6,'Kopējie pieņēmumi'!$B$5:$AH$15,6)</f>
        <v>832.5</v>
      </c>
      <c r="AG7" s="731">
        <f>$B$7*HLOOKUP(AG6,'Kopējie pieņēmumi'!$B$5:$AH$15,6)</f>
        <v>832.5</v>
      </c>
      <c r="AH7" s="731">
        <f>$B$7*HLOOKUP(AH6,'Kopējie pieņēmumi'!$B$5:$AH$15,6)</f>
        <v>832.5</v>
      </c>
      <c r="AI7" s="731">
        <f>$B$7*HLOOKUP(AI6,'Kopējie pieņēmumi'!$B$5:$AH$15,6)</f>
        <v>832.5</v>
      </c>
    </row>
    <row r="8" spans="1:35" s="235" customFormat="1" ht="13.5" customHeight="1" x14ac:dyDescent="0.2">
      <c r="A8" s="213" t="s">
        <v>98</v>
      </c>
      <c r="B8" s="978">
        <f>'gadu šķirošana'!C7*'Datu ievade'!$B$139*30/1000</f>
        <v>5.25</v>
      </c>
      <c r="C8" s="979">
        <f>'gadu šķirošana'!D7*'Datu ievade'!$B$139*30/1000</f>
        <v>5.25</v>
      </c>
      <c r="D8" s="979">
        <f>'gadu šķirošana'!E7*'Datu ievade'!$B$139*30/1000</f>
        <v>5.25</v>
      </c>
      <c r="E8" s="979">
        <f>'gadu šķirošana'!F7*'Datu ievade'!$B$139*30/1000</f>
        <v>5.25</v>
      </c>
      <c r="F8" s="979">
        <f>'gadu šķirošana'!G7*'Datu ievade'!$B$139*30/1000</f>
        <v>5.25</v>
      </c>
      <c r="G8" s="979">
        <f>'gadu šķirošana'!H7*'Datu ievade'!$B$139*30/1000</f>
        <v>5.25</v>
      </c>
      <c r="H8" s="979">
        <f>'gadu šķirošana'!I7*'Datu ievade'!$B$139*30/1000</f>
        <v>5.25</v>
      </c>
      <c r="I8" s="979">
        <f>'gadu šķirošana'!J7*'Datu ievade'!$B$139*30/1000</f>
        <v>5.25</v>
      </c>
      <c r="J8" s="979">
        <f>'gadu šķirošana'!K7*'Datu ievade'!$B$139*30/1000</f>
        <v>5.25</v>
      </c>
      <c r="K8" s="979">
        <f>'gadu šķirošana'!L7*'Datu ievade'!$B$139*30/1000</f>
        <v>5.25</v>
      </c>
      <c r="L8" s="979">
        <f>'gadu šķirošana'!M7*'Datu ievade'!$B$139*30/1000</f>
        <v>5.25</v>
      </c>
      <c r="M8" s="979">
        <f>'gadu šķirošana'!N7*'Datu ievade'!$B$139*30/1000</f>
        <v>5.25</v>
      </c>
      <c r="N8" s="979">
        <f>'gadu šķirošana'!O7*'Datu ievade'!$B$139*30/1000</f>
        <v>5.25</v>
      </c>
      <c r="O8" s="979">
        <f>'gadu šķirošana'!P7*'Datu ievade'!$B$139*30/1000</f>
        <v>5.25</v>
      </c>
      <c r="P8" s="979">
        <f>'gadu šķirošana'!Q7*'Datu ievade'!$B$139*30/1000</f>
        <v>5.25</v>
      </c>
      <c r="Q8" s="979">
        <f>'gadu šķirošana'!R7*'Datu ievade'!$B$139*30/1000</f>
        <v>5.25</v>
      </c>
      <c r="R8" s="979">
        <f>'gadu šķirošana'!S7*'Datu ievade'!$B$139*30/1000</f>
        <v>5.25</v>
      </c>
      <c r="S8" s="979">
        <f>'gadu šķirošana'!T7*'Datu ievade'!$B$139*30/1000</f>
        <v>5.25</v>
      </c>
      <c r="T8" s="979">
        <f>'gadu šķirošana'!U7*'Datu ievade'!$B$139*30/1000</f>
        <v>5.25</v>
      </c>
      <c r="U8" s="979">
        <f>'gadu šķirošana'!V7*'Datu ievade'!$B$139*30/1000</f>
        <v>5.25</v>
      </c>
      <c r="V8" s="979">
        <f>'gadu šķirošana'!W7*'Datu ievade'!$B$139*30/1000</f>
        <v>5.25</v>
      </c>
      <c r="W8" s="979">
        <f>'gadu šķirošana'!X7*'Datu ievade'!$B$139*30/1000</f>
        <v>5.25</v>
      </c>
      <c r="X8" s="979">
        <f>'gadu šķirošana'!Y7*'Datu ievade'!$B$139*30/1000</f>
        <v>5.25</v>
      </c>
      <c r="Y8" s="979">
        <f>'gadu šķirošana'!Z7*'Datu ievade'!$B$139*30/1000</f>
        <v>5.25</v>
      </c>
      <c r="Z8" s="979">
        <f>'gadu šķirošana'!AA7*'Datu ievade'!$B$139*30/1000</f>
        <v>5.25</v>
      </c>
      <c r="AA8" s="979">
        <f>'gadu šķirošana'!AB7*'Datu ievade'!$B$139*30/1000</f>
        <v>5.25</v>
      </c>
      <c r="AB8" s="979">
        <f>'gadu šķirošana'!AC7*'Datu ievade'!$B$139*30/1000</f>
        <v>5.25</v>
      </c>
      <c r="AC8" s="979">
        <f>'gadu šķirošana'!AD7*'Datu ievade'!$B$139*30/1000</f>
        <v>5.25</v>
      </c>
      <c r="AD8" s="979">
        <f>'gadu šķirošana'!AE7*'Datu ievade'!$B$139*30/1000</f>
        <v>5.25</v>
      </c>
      <c r="AE8" s="979">
        <f>'gadu šķirošana'!AF7*'Datu ievade'!$B$139*30/1000</f>
        <v>5.25</v>
      </c>
      <c r="AF8" s="979">
        <f>'gadu šķirošana'!AG7*'Datu ievade'!$B$139*30/1000</f>
        <v>5.25</v>
      </c>
      <c r="AG8" s="979">
        <f>'gadu šķirošana'!AH7*'Datu ievade'!$B$139*30/1000</f>
        <v>5.25</v>
      </c>
      <c r="AH8" s="979">
        <f>'gadu šķirošana'!AI7*'Datu ievade'!$B$139*30/1000</f>
        <v>5.25</v>
      </c>
      <c r="AI8" s="979">
        <f>'gadu šķirošana'!AJ7*'Datu ievade'!$B$139*30/1000</f>
        <v>5.25</v>
      </c>
    </row>
    <row r="9" spans="1:35" s="154" customFormat="1" ht="13.5" customHeight="1" x14ac:dyDescent="0.2">
      <c r="A9" s="147" t="s">
        <v>296</v>
      </c>
      <c r="B9" s="709">
        <f>'Saimnieciskas pamatdarbibas NP'!B109*1.21</f>
        <v>1.1374</v>
      </c>
      <c r="C9" s="730">
        <f>'Saimnieciskas pamatdarbibas NP'!C109*1.21</f>
        <v>1.1374</v>
      </c>
      <c r="D9" s="730">
        <f>'Saimnieciskas pamatdarbibas NP'!D109*1.21</f>
        <v>0.99461999999999995</v>
      </c>
      <c r="E9" s="730">
        <f>'Saimnieciskas pamatdarbibas NP'!E109*1.21</f>
        <v>1.0127699999999999</v>
      </c>
      <c r="F9" s="730">
        <f>'Saimnieciskas pamatdarbibas NP'!F109*1.21</f>
        <v>1.0309199999999998</v>
      </c>
      <c r="G9" s="730">
        <f>'Saimnieciskas pamatdarbibas NP'!G109*1.21</f>
        <v>1.04786</v>
      </c>
      <c r="H9" s="730">
        <f>'Saimnieciskas pamatdarbibas NP'!H109*1.21</f>
        <v>1.0660099999999999</v>
      </c>
      <c r="I9" s="730">
        <f>'Saimnieciskas pamatdarbibas NP'!I109*1.21</f>
        <v>1.0829500000000001</v>
      </c>
      <c r="J9" s="730">
        <f>'Saimnieciskas pamatdarbibas NP'!J109*1.21</f>
        <v>1.1011</v>
      </c>
      <c r="K9" s="730">
        <f>'Saimnieciskas pamatdarbibas NP'!K109*1.21</f>
        <v>1.1180399999999999</v>
      </c>
      <c r="L9" s="730">
        <f>'Saimnieciskas pamatdarbibas NP'!L109*1.21</f>
        <v>1.1386099999999999</v>
      </c>
      <c r="M9" s="730">
        <f>'Saimnieciskas pamatdarbibas NP'!M109*1.21</f>
        <v>1.1591799999999999</v>
      </c>
      <c r="N9" s="730">
        <f>'Saimnieciskas pamatdarbibas NP'!N109*1.21</f>
        <v>1.15676</v>
      </c>
      <c r="O9" s="730">
        <f>'Saimnieciskas pamatdarbibas NP'!O109*1.21</f>
        <v>1.17733</v>
      </c>
      <c r="P9" s="730">
        <f>'Saimnieciskas pamatdarbibas NP'!P109*1.21</f>
        <v>1.2039499999999999</v>
      </c>
      <c r="Q9" s="730">
        <f>'Saimnieciskas pamatdarbibas NP'!Q109*1.21</f>
        <v>1.2305699999999999</v>
      </c>
      <c r="R9" s="730">
        <f>'Saimnieciskas pamatdarbibas NP'!R109*1.21</f>
        <v>1.2571899999999998</v>
      </c>
      <c r="S9" s="730">
        <f>'Saimnieciskas pamatdarbibas NP'!S109*1.21</f>
        <v>1.2838099999999999</v>
      </c>
      <c r="T9" s="730">
        <f>'Saimnieciskas pamatdarbibas NP'!T109*1.21</f>
        <v>1.31043</v>
      </c>
      <c r="U9" s="730">
        <f>'Saimnieciskas pamatdarbibas NP'!U109*1.21</f>
        <v>1.3370499999999998</v>
      </c>
      <c r="V9" s="730">
        <f>'Saimnieciskas pamatdarbibas NP'!V109*1.21</f>
        <v>1.3648799999999999</v>
      </c>
      <c r="W9" s="730">
        <f>'Saimnieciskas pamatdarbibas NP'!W109*1.21</f>
        <v>1.3915</v>
      </c>
      <c r="X9" s="730">
        <f>'Saimnieciskas pamatdarbibas NP'!X109*1.21</f>
        <v>1.4181199999999998</v>
      </c>
      <c r="Y9" s="730">
        <f>'Saimnieciskas pamatdarbibas NP'!Y109*1.21</f>
        <v>1.4447399999999999</v>
      </c>
      <c r="Z9" s="730">
        <f>'Saimnieciskas pamatdarbibas NP'!Z109*1.21</f>
        <v>1.47136</v>
      </c>
      <c r="AA9" s="730">
        <f>'Saimnieciskas pamatdarbibas NP'!AA109*1.21</f>
        <v>1.4979799999999999</v>
      </c>
      <c r="AB9" s="730">
        <f>'Saimnieciskas pamatdarbibas NP'!AB109*1.21</f>
        <v>1.52702</v>
      </c>
      <c r="AC9" s="730">
        <f>'Saimnieciskas pamatdarbibas NP'!AC109*1.21</f>
        <v>1.5572699999999999</v>
      </c>
      <c r="AD9" s="730">
        <f>'Saimnieciskas pamatdarbibas NP'!AD109*1.21</f>
        <v>1.5863099999999999</v>
      </c>
      <c r="AE9" s="730">
        <f>'Saimnieciskas pamatdarbibas NP'!AE109*1.21</f>
        <v>1.6153499999999998</v>
      </c>
      <c r="AF9" s="730">
        <f>'Saimnieciskas pamatdarbibas NP'!AF109*1.21</f>
        <v>1.6516499999999998</v>
      </c>
      <c r="AG9" s="730">
        <f>'Saimnieciskas pamatdarbibas NP'!AG109*1.21</f>
        <v>1.6867399999999999</v>
      </c>
      <c r="AH9" s="730">
        <f>'Saimnieciskas pamatdarbibas NP'!AH109*1.21</f>
        <v>1.7230399999999999</v>
      </c>
      <c r="AI9" s="730">
        <f>'Saimnieciskas pamatdarbibas NP'!AI109*1.21</f>
        <v>1.75813</v>
      </c>
    </row>
    <row r="10" spans="1:35" ht="13.5" customHeight="1" x14ac:dyDescent="0.2">
      <c r="A10" s="132" t="s">
        <v>297</v>
      </c>
      <c r="B10" s="979">
        <f>B8*B9</f>
        <v>5.9713500000000002</v>
      </c>
      <c r="C10" s="979">
        <f t="shared" ref="C10:AH10" si="1">C8*C9</f>
        <v>5.9713500000000002</v>
      </c>
      <c r="D10" s="979">
        <f t="shared" si="1"/>
        <v>5.2217549999999999</v>
      </c>
      <c r="E10" s="979">
        <f t="shared" si="1"/>
        <v>5.3170424999999994</v>
      </c>
      <c r="F10" s="979">
        <f t="shared" si="1"/>
        <v>5.412329999999999</v>
      </c>
      <c r="G10" s="979">
        <f t="shared" si="1"/>
        <v>5.5012650000000001</v>
      </c>
      <c r="H10" s="979">
        <f t="shared" si="1"/>
        <v>5.5965524999999996</v>
      </c>
      <c r="I10" s="979">
        <f t="shared" si="1"/>
        <v>5.6854875000000007</v>
      </c>
      <c r="J10" s="979">
        <f t="shared" si="1"/>
        <v>5.7807750000000002</v>
      </c>
      <c r="K10" s="979">
        <f t="shared" si="1"/>
        <v>5.8697099999999995</v>
      </c>
      <c r="L10" s="979">
        <f t="shared" si="1"/>
        <v>5.9777024999999995</v>
      </c>
      <c r="M10" s="979">
        <f t="shared" si="1"/>
        <v>6.0856949999999994</v>
      </c>
      <c r="N10" s="979">
        <f t="shared" si="1"/>
        <v>6.0729899999999999</v>
      </c>
      <c r="O10" s="979">
        <f t="shared" si="1"/>
        <v>6.1809824999999998</v>
      </c>
      <c r="P10" s="979">
        <f t="shared" si="1"/>
        <v>6.320737499999999</v>
      </c>
      <c r="Q10" s="979">
        <f t="shared" si="1"/>
        <v>6.4604925</v>
      </c>
      <c r="R10" s="979">
        <f t="shared" si="1"/>
        <v>6.6002474999999992</v>
      </c>
      <c r="S10" s="979">
        <f t="shared" si="1"/>
        <v>6.7400024999999992</v>
      </c>
      <c r="T10" s="979">
        <f t="shared" si="1"/>
        <v>6.8797575000000002</v>
      </c>
      <c r="U10" s="979">
        <f t="shared" si="1"/>
        <v>7.0195124999999994</v>
      </c>
      <c r="V10" s="979">
        <f t="shared" si="1"/>
        <v>7.1656199999999997</v>
      </c>
      <c r="W10" s="979">
        <f t="shared" si="1"/>
        <v>7.3053749999999997</v>
      </c>
      <c r="X10" s="979">
        <f t="shared" si="1"/>
        <v>7.4451299999999989</v>
      </c>
      <c r="Y10" s="979">
        <f t="shared" si="1"/>
        <v>7.5848849999999999</v>
      </c>
      <c r="Z10" s="979">
        <f t="shared" si="1"/>
        <v>7.72464</v>
      </c>
      <c r="AA10" s="979">
        <f t="shared" si="1"/>
        <v>7.8643949999999991</v>
      </c>
      <c r="AB10" s="979">
        <f t="shared" si="1"/>
        <v>8.0168549999999996</v>
      </c>
      <c r="AC10" s="979">
        <f t="shared" si="1"/>
        <v>8.1756674999999994</v>
      </c>
      <c r="AD10" s="979">
        <f t="shared" si="1"/>
        <v>8.328127499999999</v>
      </c>
      <c r="AE10" s="979">
        <f t="shared" si="1"/>
        <v>8.4805874999999986</v>
      </c>
      <c r="AF10" s="979">
        <f t="shared" si="1"/>
        <v>8.6711624999999994</v>
      </c>
      <c r="AG10" s="979">
        <f t="shared" si="1"/>
        <v>8.8553850000000001</v>
      </c>
      <c r="AH10" s="979">
        <f t="shared" si="1"/>
        <v>9.0459599999999991</v>
      </c>
      <c r="AI10" s="979">
        <f>AI8*AI9</f>
        <v>9.2301824999999997</v>
      </c>
    </row>
    <row r="11" spans="1:35" s="235" customFormat="1" ht="14.25" customHeight="1" x14ac:dyDescent="0.2">
      <c r="A11" s="213" t="s">
        <v>99</v>
      </c>
      <c r="B11" s="978">
        <f>'gadu šķirošana'!C12*'Datu ievade'!$B$139*30/1000</f>
        <v>5.0999999999999996</v>
      </c>
      <c r="C11" s="979">
        <f>'gadu šķirošana'!D12*'Datu ievade'!$B$139*30/1000</f>
        <v>5.0999999999999996</v>
      </c>
      <c r="D11" s="979">
        <f>'gadu šķirošana'!E12*'Datu ievade'!$B$139*30/1000</f>
        <v>5.0999999999999996</v>
      </c>
      <c r="E11" s="979">
        <f>'gadu šķirošana'!F12*'Datu ievade'!$B$139*30/1000</f>
        <v>5.0999999999999996</v>
      </c>
      <c r="F11" s="979">
        <f>'gadu šķirošana'!G12*'Datu ievade'!$B$139*30/1000</f>
        <v>5.0999999999999996</v>
      </c>
      <c r="G11" s="979">
        <f>'gadu šķirošana'!H12*'Datu ievade'!$B$139*30/1000</f>
        <v>5.0999999999999996</v>
      </c>
      <c r="H11" s="979">
        <f>'gadu šķirošana'!I12*'Datu ievade'!$B$139*30/1000</f>
        <v>5.0999999999999996</v>
      </c>
      <c r="I11" s="979">
        <f>'gadu šķirošana'!J12*'Datu ievade'!$B$139*30/1000</f>
        <v>5.0999999999999996</v>
      </c>
      <c r="J11" s="979">
        <f>'gadu šķirošana'!K12*'Datu ievade'!$B$139*30/1000</f>
        <v>5.0999999999999996</v>
      </c>
      <c r="K11" s="979">
        <f>'gadu šķirošana'!L12*'Datu ievade'!$B$139*30/1000</f>
        <v>5.0999999999999996</v>
      </c>
      <c r="L11" s="979">
        <f>'gadu šķirošana'!M12*'Datu ievade'!$B$139*30/1000</f>
        <v>5.0999999999999996</v>
      </c>
      <c r="M11" s="979">
        <f>'gadu šķirošana'!N12*'Datu ievade'!$B$139*30/1000</f>
        <v>5.0999999999999996</v>
      </c>
      <c r="N11" s="979">
        <f>'gadu šķirošana'!O12*'Datu ievade'!$B$139*30/1000</f>
        <v>5.0999999999999996</v>
      </c>
      <c r="O11" s="979">
        <f>'gadu šķirošana'!P12*'Datu ievade'!$B$139*30/1000</f>
        <v>5.0999999999999996</v>
      </c>
      <c r="P11" s="979">
        <f>'gadu šķirošana'!Q12*'Datu ievade'!$B$139*30/1000</f>
        <v>5.0999999999999996</v>
      </c>
      <c r="Q11" s="979">
        <f>'gadu šķirošana'!R12*'Datu ievade'!$B$139*30/1000</f>
        <v>5.0999999999999996</v>
      </c>
      <c r="R11" s="979">
        <f>'gadu šķirošana'!S12*'Datu ievade'!$B$139*30/1000</f>
        <v>5.0999999999999996</v>
      </c>
      <c r="S11" s="979">
        <f>'gadu šķirošana'!T12*'Datu ievade'!$B$139*30/1000</f>
        <v>5.0999999999999996</v>
      </c>
      <c r="T11" s="979">
        <f>'gadu šķirošana'!U12*'Datu ievade'!$B$139*30/1000</f>
        <v>5.0999999999999996</v>
      </c>
      <c r="U11" s="979">
        <f>'gadu šķirošana'!V12*'Datu ievade'!$B$139*30/1000</f>
        <v>5.0999999999999996</v>
      </c>
      <c r="V11" s="979">
        <f>'gadu šķirošana'!W12*'Datu ievade'!$B$139*30/1000</f>
        <v>5.0999999999999996</v>
      </c>
      <c r="W11" s="979">
        <f>'gadu šķirošana'!X12*'Datu ievade'!$B$139*30/1000</f>
        <v>5.0999999999999996</v>
      </c>
      <c r="X11" s="979">
        <f>'gadu šķirošana'!Y12*'Datu ievade'!$B$139*30/1000</f>
        <v>5.0999999999999996</v>
      </c>
      <c r="Y11" s="979">
        <f>'gadu šķirošana'!Z12*'Datu ievade'!$B$139*30/1000</f>
        <v>5.0999999999999996</v>
      </c>
      <c r="Z11" s="979">
        <f>'gadu šķirošana'!AA12*'Datu ievade'!$B$139*30/1000</f>
        <v>5.0999999999999996</v>
      </c>
      <c r="AA11" s="979">
        <f>'gadu šķirošana'!AB12*'Datu ievade'!$B$139*30/1000</f>
        <v>5.0999999999999996</v>
      </c>
      <c r="AB11" s="979">
        <f>'gadu šķirošana'!AC12*'Datu ievade'!$B$139*30/1000</f>
        <v>5.0999999999999996</v>
      </c>
      <c r="AC11" s="979">
        <f>'gadu šķirošana'!AD12*'Datu ievade'!$B$139*30/1000</f>
        <v>5.0999999999999996</v>
      </c>
      <c r="AD11" s="979">
        <f>'gadu šķirošana'!AE12*'Datu ievade'!$B$139*30/1000</f>
        <v>5.0999999999999996</v>
      </c>
      <c r="AE11" s="979">
        <f>'gadu šķirošana'!AF12*'Datu ievade'!$B$139*30/1000</f>
        <v>5.0999999999999996</v>
      </c>
      <c r="AF11" s="979">
        <f>'gadu šķirošana'!AG12*'Datu ievade'!$B$139*30/1000</f>
        <v>5.0999999999999996</v>
      </c>
      <c r="AG11" s="979">
        <f>'gadu šķirošana'!AH12*'Datu ievade'!$B$139*30/1000</f>
        <v>5.0999999999999996</v>
      </c>
      <c r="AH11" s="979">
        <f>'gadu šķirošana'!AI12*'Datu ievade'!$B$139*30/1000</f>
        <v>5.0999999999999996</v>
      </c>
      <c r="AI11" s="979">
        <f>'gadu šķirošana'!AJ12*'Datu ievade'!$B$139*30/1000</f>
        <v>5.0999999999999996</v>
      </c>
    </row>
    <row r="12" spans="1:35" s="154" customFormat="1" ht="14.25" customHeight="1" x14ac:dyDescent="0.2">
      <c r="A12" s="147" t="s">
        <v>298</v>
      </c>
      <c r="B12" s="709">
        <f>'Saimnieciskas pamatdarbibas NP'!B122*1.21</f>
        <v>1.3552000000000002</v>
      </c>
      <c r="C12" s="731">
        <f>'Saimnieciskas pamatdarbibas NP'!C122*1.21</f>
        <v>1.1253</v>
      </c>
      <c r="D12" s="731">
        <f>'Saimnieciskas pamatdarbibas NP'!D122*1.21</f>
        <v>1.1374</v>
      </c>
      <c r="E12" s="731">
        <f>'Saimnieciskas pamatdarbibas NP'!E122*1.21</f>
        <v>1.1737</v>
      </c>
      <c r="F12" s="731">
        <f>'Saimnieciskas pamatdarbibas NP'!F122*1.21</f>
        <v>1.1858</v>
      </c>
      <c r="G12" s="731">
        <f>'Saimnieciskas pamatdarbibas NP'!G122*1.21</f>
        <v>1.21</v>
      </c>
      <c r="H12" s="731">
        <f>'Saimnieciskas pamatdarbibas NP'!H122*1.21</f>
        <v>1.2342</v>
      </c>
      <c r="I12" s="731">
        <f>'Saimnieciskas pamatdarbibas NP'!I122*1.21</f>
        <v>1.2463</v>
      </c>
      <c r="J12" s="731">
        <f>'Saimnieciskas pamatdarbibas NP'!J122*1.21</f>
        <v>1.2705</v>
      </c>
      <c r="K12" s="731">
        <f>'Saimnieciskas pamatdarbibas NP'!K122*1.21</f>
        <v>1.2947</v>
      </c>
      <c r="L12" s="731">
        <f>'Saimnieciskas pamatdarbibas NP'!L122*1.21</f>
        <v>1.3189</v>
      </c>
      <c r="M12" s="731">
        <f>'Saimnieciskas pamatdarbibas NP'!M122*1.21</f>
        <v>1.331</v>
      </c>
      <c r="N12" s="731">
        <f>'Saimnieciskas pamatdarbibas NP'!N122*1.21</f>
        <v>1.3431000000000002</v>
      </c>
      <c r="O12" s="731">
        <f>'Saimnieciskas pamatdarbibas NP'!O122*1.21</f>
        <v>1.3672999999999997</v>
      </c>
      <c r="P12" s="731">
        <f>'Saimnieciskas pamatdarbibas NP'!P122*1.21</f>
        <v>1.3915</v>
      </c>
      <c r="Q12" s="731">
        <f>'Saimnieciskas pamatdarbibas NP'!Q122*1.21</f>
        <v>1.4278</v>
      </c>
      <c r="R12" s="731">
        <f>'Saimnieciskas pamatdarbibas NP'!R122*1.21</f>
        <v>1.452</v>
      </c>
      <c r="S12" s="731">
        <f>'Saimnieciskas pamatdarbibas NP'!S122*1.21</f>
        <v>1.4883</v>
      </c>
      <c r="T12" s="731">
        <f>'Saimnieciskas pamatdarbibas NP'!T122*1.21</f>
        <v>1.5125</v>
      </c>
      <c r="U12" s="731">
        <f>'Saimnieciskas pamatdarbibas NP'!U122*1.21</f>
        <v>1.5488</v>
      </c>
      <c r="V12" s="731">
        <f>'Saimnieciskas pamatdarbibas NP'!V122*1.21</f>
        <v>1.573</v>
      </c>
      <c r="W12" s="731">
        <f>'Saimnieciskas pamatdarbibas NP'!W122*1.21</f>
        <v>1.6093</v>
      </c>
      <c r="X12" s="731">
        <f>'Saimnieciskas pamatdarbibas NP'!X122*1.21</f>
        <v>1.6335</v>
      </c>
      <c r="Y12" s="731">
        <f>'Saimnieciskas pamatdarbibas NP'!Y122*1.21</f>
        <v>1.6697999999999997</v>
      </c>
      <c r="Z12" s="731">
        <f>'Saimnieciskas pamatdarbibas NP'!Z122*1.21</f>
        <v>1.694</v>
      </c>
      <c r="AA12" s="731">
        <f>'Saimnieciskas pamatdarbibas NP'!AA122*1.21</f>
        <v>1.7302999999999999</v>
      </c>
      <c r="AB12" s="731">
        <f>'Saimnieciskas pamatdarbibas NP'!AB122*1.21</f>
        <v>1.7665999999999999</v>
      </c>
      <c r="AC12" s="731">
        <f>'Saimnieciskas pamatdarbibas NP'!AC122*1.21</f>
        <v>1.7907999999999999</v>
      </c>
      <c r="AD12" s="731">
        <f>'Saimnieciskas pamatdarbibas NP'!AD122*1.21</f>
        <v>1.8270999999999999</v>
      </c>
      <c r="AE12" s="731">
        <f>'Saimnieciskas pamatdarbibas NP'!AE122*1.21</f>
        <v>1.8633999999999999</v>
      </c>
      <c r="AF12" s="731">
        <f>'Saimnieciskas pamatdarbibas NP'!AF122*1.21</f>
        <v>1.8996999999999999</v>
      </c>
      <c r="AG12" s="731">
        <f>'Saimnieciskas pamatdarbibas NP'!AG122*1.21</f>
        <v>1.9359999999999999</v>
      </c>
      <c r="AH12" s="731">
        <f>'Saimnieciskas pamatdarbibas NP'!AH122*1.21</f>
        <v>1.9843999999999997</v>
      </c>
      <c r="AI12" s="731">
        <f>'Saimnieciskas pamatdarbibas NP'!AI122*1.21</f>
        <v>2.0206999999999997</v>
      </c>
    </row>
    <row r="13" spans="1:35" s="235" customFormat="1" ht="14.25" customHeight="1" x14ac:dyDescent="0.2">
      <c r="A13" s="213" t="s">
        <v>299</v>
      </c>
      <c r="B13" s="979">
        <f>B11*B12</f>
        <v>6.9115200000000003</v>
      </c>
      <c r="C13" s="979">
        <f t="shared" ref="C13:AH13" si="2">C11*C12</f>
        <v>5.7390299999999996</v>
      </c>
      <c r="D13" s="979">
        <f t="shared" si="2"/>
        <v>5.8007399999999993</v>
      </c>
      <c r="E13" s="979">
        <f t="shared" si="2"/>
        <v>5.9858699999999994</v>
      </c>
      <c r="F13" s="979">
        <f t="shared" si="2"/>
        <v>6.0475799999999991</v>
      </c>
      <c r="G13" s="979">
        <f t="shared" si="2"/>
        <v>6.1709999999999994</v>
      </c>
      <c r="H13" s="979">
        <f t="shared" si="2"/>
        <v>6.2944199999999997</v>
      </c>
      <c r="I13" s="979">
        <f t="shared" si="2"/>
        <v>6.3561299999999994</v>
      </c>
      <c r="J13" s="979">
        <f t="shared" si="2"/>
        <v>6.4795499999999997</v>
      </c>
      <c r="K13" s="979">
        <f t="shared" si="2"/>
        <v>6.6029699999999991</v>
      </c>
      <c r="L13" s="979">
        <f t="shared" si="2"/>
        <v>6.7263899999999994</v>
      </c>
      <c r="M13" s="979">
        <f t="shared" si="2"/>
        <v>6.7880999999999991</v>
      </c>
      <c r="N13" s="979">
        <f t="shared" si="2"/>
        <v>6.8498100000000006</v>
      </c>
      <c r="O13" s="979">
        <f t="shared" si="2"/>
        <v>6.9732299999999983</v>
      </c>
      <c r="P13" s="979">
        <f t="shared" si="2"/>
        <v>7.0966499999999995</v>
      </c>
      <c r="Q13" s="979">
        <f t="shared" si="2"/>
        <v>7.2817799999999995</v>
      </c>
      <c r="R13" s="979">
        <f t="shared" si="2"/>
        <v>7.4051999999999989</v>
      </c>
      <c r="S13" s="979">
        <f t="shared" si="2"/>
        <v>7.5903299999999989</v>
      </c>
      <c r="T13" s="979">
        <f t="shared" si="2"/>
        <v>7.7137499999999992</v>
      </c>
      <c r="U13" s="979">
        <f t="shared" si="2"/>
        <v>7.8988799999999992</v>
      </c>
      <c r="V13" s="979">
        <f t="shared" si="2"/>
        <v>8.0222999999999995</v>
      </c>
      <c r="W13" s="979">
        <f t="shared" si="2"/>
        <v>8.2074299999999987</v>
      </c>
      <c r="X13" s="979">
        <f t="shared" si="2"/>
        <v>8.3308499999999999</v>
      </c>
      <c r="Y13" s="979">
        <f t="shared" si="2"/>
        <v>8.5159799999999972</v>
      </c>
      <c r="Z13" s="979">
        <f t="shared" si="2"/>
        <v>8.6393999999999984</v>
      </c>
      <c r="AA13" s="979">
        <f t="shared" si="2"/>
        <v>8.8245299999999993</v>
      </c>
      <c r="AB13" s="979">
        <f t="shared" si="2"/>
        <v>9.0096599999999984</v>
      </c>
      <c r="AC13" s="979">
        <f t="shared" si="2"/>
        <v>9.1330799999999996</v>
      </c>
      <c r="AD13" s="979">
        <f t="shared" si="2"/>
        <v>9.3182099999999988</v>
      </c>
      <c r="AE13" s="979">
        <f t="shared" si="2"/>
        <v>9.5033399999999997</v>
      </c>
      <c r="AF13" s="979">
        <f t="shared" si="2"/>
        <v>9.6884699999999988</v>
      </c>
      <c r="AG13" s="979">
        <f t="shared" si="2"/>
        <v>9.8735999999999997</v>
      </c>
      <c r="AH13" s="979">
        <f t="shared" si="2"/>
        <v>10.120439999999999</v>
      </c>
      <c r="AI13" s="979">
        <f>AI11*AI12</f>
        <v>10.305569999999998</v>
      </c>
    </row>
    <row r="14" spans="1:35" ht="14.25" customHeight="1" x14ac:dyDescent="0.2">
      <c r="A14" s="213" t="s">
        <v>100</v>
      </c>
      <c r="B14" s="731">
        <f t="shared" ref="B14:AG14" si="3">SUM(B10,B13)</f>
        <v>12.88287</v>
      </c>
      <c r="C14" s="737">
        <f t="shared" si="3"/>
        <v>11.710380000000001</v>
      </c>
      <c r="D14" s="737">
        <f t="shared" si="3"/>
        <v>11.022494999999999</v>
      </c>
      <c r="E14" s="737">
        <f t="shared" si="3"/>
        <v>11.302912499999998</v>
      </c>
      <c r="F14" s="737">
        <f t="shared" si="3"/>
        <v>11.459909999999997</v>
      </c>
      <c r="G14" s="737">
        <f t="shared" si="3"/>
        <v>11.672264999999999</v>
      </c>
      <c r="H14" s="737">
        <f t="shared" si="3"/>
        <v>11.8909725</v>
      </c>
      <c r="I14" s="737">
        <f t="shared" si="3"/>
        <v>12.041617500000001</v>
      </c>
      <c r="J14" s="730">
        <f t="shared" si="3"/>
        <v>12.260325</v>
      </c>
      <c r="K14" s="737">
        <f t="shared" si="3"/>
        <v>12.472679999999999</v>
      </c>
      <c r="L14" s="737">
        <f t="shared" si="3"/>
        <v>12.704092499999998</v>
      </c>
      <c r="M14" s="737">
        <f t="shared" si="3"/>
        <v>12.873794999999998</v>
      </c>
      <c r="N14" s="737">
        <f t="shared" si="3"/>
        <v>12.922800000000001</v>
      </c>
      <c r="O14" s="737">
        <f t="shared" si="3"/>
        <v>13.154212499999998</v>
      </c>
      <c r="P14" s="737">
        <f t="shared" si="3"/>
        <v>13.417387499999998</v>
      </c>
      <c r="Q14" s="737">
        <f t="shared" si="3"/>
        <v>13.742272499999999</v>
      </c>
      <c r="R14" s="737">
        <f t="shared" si="3"/>
        <v>14.005447499999999</v>
      </c>
      <c r="S14" s="737">
        <f t="shared" si="3"/>
        <v>14.330332499999997</v>
      </c>
      <c r="T14" s="737">
        <f t="shared" si="3"/>
        <v>14.593507499999999</v>
      </c>
      <c r="U14" s="737">
        <f t="shared" si="3"/>
        <v>14.9183925</v>
      </c>
      <c r="V14" s="737">
        <f t="shared" si="3"/>
        <v>15.187919999999998</v>
      </c>
      <c r="W14" s="737">
        <f t="shared" si="3"/>
        <v>15.512804999999998</v>
      </c>
      <c r="X14" s="737">
        <f t="shared" si="3"/>
        <v>15.775979999999999</v>
      </c>
      <c r="Y14" s="737">
        <f t="shared" si="3"/>
        <v>16.100864999999999</v>
      </c>
      <c r="Z14" s="737">
        <f t="shared" si="3"/>
        <v>16.364039999999999</v>
      </c>
      <c r="AA14" s="737">
        <f t="shared" si="3"/>
        <v>16.688924999999998</v>
      </c>
      <c r="AB14" s="737">
        <f t="shared" si="3"/>
        <v>17.026514999999996</v>
      </c>
      <c r="AC14" s="737">
        <f t="shared" si="3"/>
        <v>17.308747499999999</v>
      </c>
      <c r="AD14" s="737">
        <f t="shared" si="3"/>
        <v>17.646337499999998</v>
      </c>
      <c r="AE14" s="737">
        <f t="shared" si="3"/>
        <v>17.9839275</v>
      </c>
      <c r="AF14" s="737">
        <f t="shared" si="3"/>
        <v>18.359632499999996</v>
      </c>
      <c r="AG14" s="737">
        <f t="shared" si="3"/>
        <v>18.728985000000002</v>
      </c>
      <c r="AH14" s="737">
        <f>SUM(AH10,AH13)</f>
        <v>19.166399999999996</v>
      </c>
      <c r="AI14" s="737">
        <f>SUM(AI10,AI13)</f>
        <v>19.535752499999997</v>
      </c>
    </row>
    <row r="15" spans="1:35" ht="14.25" customHeight="1" x14ac:dyDescent="0.2">
      <c r="A15" s="213" t="s">
        <v>101</v>
      </c>
      <c r="B15" s="980">
        <f>IF(B7=0,0,B14/B7)</f>
        <v>2.8628600000000001E-2</v>
      </c>
      <c r="C15" s="980">
        <f t="shared" ref="C15:AG15" si="4">IF(C7=0,0,C14/C7)</f>
        <v>2.5265113268608416E-2</v>
      </c>
      <c r="D15" s="980">
        <f t="shared" si="4"/>
        <v>2.3107955974842765E-2</v>
      </c>
      <c r="E15" s="980">
        <f t="shared" si="4"/>
        <v>2.3043654434250757E-2</v>
      </c>
      <c r="F15" s="980">
        <f t="shared" si="4"/>
        <v>2.2942762762762754E-2</v>
      </c>
      <c r="G15" s="980">
        <f t="shared" si="4"/>
        <v>2.2954306784660768E-2</v>
      </c>
      <c r="H15" s="980">
        <f t="shared" si="4"/>
        <v>2.2977724637681159E-2</v>
      </c>
      <c r="I15" s="980">
        <f t="shared" si="4"/>
        <v>2.2871068376068379E-2</v>
      </c>
      <c r="J15" s="981">
        <f t="shared" si="4"/>
        <v>2.2895098039215685E-2</v>
      </c>
      <c r="K15" s="980">
        <f t="shared" si="4"/>
        <v>2.2906666666666665E-2</v>
      </c>
      <c r="L15" s="980">
        <f t="shared" si="4"/>
        <v>2.2767190860215052E-2</v>
      </c>
      <c r="M15" s="980">
        <f t="shared" si="4"/>
        <v>2.252632545931758E-2</v>
      </c>
      <c r="N15" s="980">
        <f t="shared" si="4"/>
        <v>2.2090256410256411E-2</v>
      </c>
      <c r="O15" s="980">
        <f t="shared" si="4"/>
        <v>2.1978634085213028E-2</v>
      </c>
      <c r="P15" s="980">
        <f t="shared" si="4"/>
        <v>2.1923835784313724E-2</v>
      </c>
      <c r="Q15" s="980">
        <f t="shared" si="4"/>
        <v>2.1970059952038368E-2</v>
      </c>
      <c r="R15" s="980">
        <f t="shared" si="4"/>
        <v>2.1917758215962441E-2</v>
      </c>
      <c r="S15" s="980">
        <f t="shared" si="4"/>
        <v>2.1962195402298847E-2</v>
      </c>
      <c r="T15" s="980">
        <f t="shared" si="4"/>
        <v>2.1912173423423421E-2</v>
      </c>
      <c r="U15" s="980">
        <f t="shared" si="4"/>
        <v>2.1954955849889626E-2</v>
      </c>
      <c r="V15" s="980">
        <f t="shared" si="4"/>
        <v>2.1916190476190475E-2</v>
      </c>
      <c r="W15" s="980">
        <f t="shared" si="4"/>
        <v>2.1957261146496813E-2</v>
      </c>
      <c r="X15" s="980">
        <f t="shared" si="4"/>
        <v>2.1911083333333331E-2</v>
      </c>
      <c r="Y15" s="980">
        <f t="shared" si="4"/>
        <v>2.1950736196319019E-2</v>
      </c>
      <c r="Z15" s="980">
        <f t="shared" si="4"/>
        <v>2.1906345381526103E-2</v>
      </c>
      <c r="AA15" s="980">
        <f t="shared" si="4"/>
        <v>2.1944674556213014E-2</v>
      </c>
      <c r="AB15" s="980">
        <f t="shared" si="4"/>
        <v>2.1870924855491324E-2</v>
      </c>
      <c r="AC15" s="980">
        <f t="shared" si="4"/>
        <v>2.1731007532956686E-2</v>
      </c>
      <c r="AD15" s="980">
        <f t="shared" si="4"/>
        <v>2.1665239410681398E-2</v>
      </c>
      <c r="AE15" s="980">
        <f t="shared" si="4"/>
        <v>2.1602315315315316E-2</v>
      </c>
      <c r="AF15" s="980">
        <f t="shared" si="4"/>
        <v>2.2053612612612607E-2</v>
      </c>
      <c r="AG15" s="980">
        <f t="shared" si="4"/>
        <v>2.2497279279279282E-2</v>
      </c>
      <c r="AH15" s="980">
        <f>IF(AH7=0,0,AH14/AH7)</f>
        <v>2.3022702702702697E-2</v>
      </c>
      <c r="AI15" s="980">
        <f>IF(AI7=0,0,AI14/AI7)</f>
        <v>2.3466369369369366E-2</v>
      </c>
    </row>
    <row r="16" spans="1:35" x14ac:dyDescent="0.2">
      <c r="B16" s="982"/>
      <c r="C16" s="982"/>
      <c r="D16" s="982"/>
      <c r="E16" s="982"/>
      <c r="F16" s="982"/>
      <c r="G16" s="982"/>
      <c r="H16" s="982"/>
      <c r="I16" s="982"/>
      <c r="J16" s="743"/>
      <c r="K16" s="982"/>
      <c r="L16" s="982"/>
      <c r="M16" s="982"/>
      <c r="N16" s="982"/>
      <c r="O16" s="982"/>
      <c r="P16" s="982"/>
      <c r="Q16" s="982"/>
      <c r="R16" s="982"/>
      <c r="S16" s="982"/>
      <c r="T16" s="982"/>
      <c r="U16" s="982"/>
    </row>
    <row r="17" spans="1:35" ht="12.75" x14ac:dyDescent="0.2">
      <c r="A17" s="782" t="s">
        <v>387</v>
      </c>
      <c r="B17" s="982"/>
      <c r="C17" s="982"/>
      <c r="D17" s="982"/>
      <c r="E17" s="982"/>
      <c r="F17" s="982"/>
      <c r="G17" s="982"/>
      <c r="H17" s="982"/>
      <c r="I17" s="982"/>
      <c r="J17" s="743"/>
      <c r="K17" s="982"/>
      <c r="L17" s="982"/>
      <c r="M17" s="982"/>
      <c r="N17" s="982"/>
      <c r="O17" s="982"/>
      <c r="P17" s="982"/>
      <c r="Q17" s="982"/>
      <c r="R17" s="982"/>
      <c r="S17" s="982"/>
      <c r="T17" s="982"/>
      <c r="U17" s="982"/>
    </row>
    <row r="18" spans="1:35" outlineLevel="1" x14ac:dyDescent="0.2">
      <c r="A18" s="162" t="str">
        <f>"Pieļaujamie kopējie mājsaimn. izdevumi "&amp;'Datu ievade'!B147*100&amp;"% robežās"</f>
        <v>Pieļaujamie kopējie mājsaimn. izdevumi 4% robežās</v>
      </c>
      <c r="B18" s="982">
        <f>B7*'Datu ievade'!$B$147</f>
        <v>18</v>
      </c>
      <c r="C18" s="982">
        <f>C7*'Datu ievade'!$B$147</f>
        <v>18.54</v>
      </c>
      <c r="D18" s="982">
        <f>D7*'Datu ievade'!$B$147</f>
        <v>19.080000000000002</v>
      </c>
      <c r="E18" s="982">
        <f>E7*'Datu ievade'!$B$147</f>
        <v>19.62</v>
      </c>
      <c r="F18" s="982">
        <f>F7*'Datu ievade'!$B$147</f>
        <v>19.980000000000004</v>
      </c>
      <c r="G18" s="982">
        <f>G7*'Datu ievade'!$B$147</f>
        <v>20.34</v>
      </c>
      <c r="H18" s="982">
        <f>H7*'Datu ievade'!$B$147</f>
        <v>20.7</v>
      </c>
      <c r="I18" s="982">
        <f>I7*'Datu ievade'!$B$147</f>
        <v>21.06</v>
      </c>
      <c r="J18" s="982">
        <f>J7*'Datu ievade'!$B$147</f>
        <v>21.42</v>
      </c>
      <c r="K18" s="982">
        <f>K7*'Datu ievade'!$B$147</f>
        <v>21.78</v>
      </c>
      <c r="L18" s="982">
        <f>L7*'Datu ievade'!$B$147</f>
        <v>22.32</v>
      </c>
      <c r="M18" s="982">
        <f>M7*'Datu ievade'!$B$147</f>
        <v>22.86</v>
      </c>
      <c r="N18" s="982">
        <f>N7*'Datu ievade'!$B$147</f>
        <v>23.400000000000002</v>
      </c>
      <c r="O18" s="982">
        <f>O7*'Datu ievade'!$B$147</f>
        <v>23.94</v>
      </c>
      <c r="P18" s="982">
        <f>P7*'Datu ievade'!$B$147</f>
        <v>24.48</v>
      </c>
      <c r="Q18" s="982">
        <f>Q7*'Datu ievade'!$B$147</f>
        <v>25.02</v>
      </c>
      <c r="R18" s="982">
        <f>R7*'Datu ievade'!$B$147</f>
        <v>25.560000000000002</v>
      </c>
      <c r="S18" s="982">
        <f>S7*'Datu ievade'!$B$147</f>
        <v>26.1</v>
      </c>
      <c r="T18" s="982">
        <f>T7*'Datu ievade'!$B$147</f>
        <v>26.64</v>
      </c>
      <c r="U18" s="982">
        <f>U7*'Datu ievade'!$B$147</f>
        <v>27.18</v>
      </c>
      <c r="V18" s="982">
        <f>V7*'Datu ievade'!$B$147</f>
        <v>27.72</v>
      </c>
      <c r="W18" s="982">
        <f>W7*'Datu ievade'!$B$147</f>
        <v>28.26</v>
      </c>
      <c r="X18" s="982">
        <f>X7*'Datu ievade'!$B$147</f>
        <v>28.8</v>
      </c>
      <c r="Y18" s="982">
        <f>Y7*'Datu ievade'!$B$147</f>
        <v>29.34</v>
      </c>
      <c r="Z18" s="982">
        <f>Z7*'Datu ievade'!$B$147</f>
        <v>29.88</v>
      </c>
      <c r="AA18" s="982">
        <f>AA7*'Datu ievade'!$B$147</f>
        <v>30.42</v>
      </c>
      <c r="AB18" s="982">
        <f>AB7*'Datu ievade'!$B$147</f>
        <v>31.14</v>
      </c>
      <c r="AC18" s="982">
        <f>AC7*'Datu ievade'!$B$147</f>
        <v>31.86</v>
      </c>
      <c r="AD18" s="982">
        <f>AD7*'Datu ievade'!$B$147</f>
        <v>32.58</v>
      </c>
      <c r="AE18" s="982">
        <f>AE7*'Datu ievade'!$B$147</f>
        <v>33.299999999999997</v>
      </c>
      <c r="AF18" s="982">
        <f>AF7*'Datu ievade'!$B$147</f>
        <v>33.299999999999997</v>
      </c>
      <c r="AG18" s="982">
        <f>AG7*'Datu ievade'!$B$147</f>
        <v>33.299999999999997</v>
      </c>
      <c r="AH18" s="982">
        <f>AH7*'Datu ievade'!$B$147</f>
        <v>33.299999999999997</v>
      </c>
      <c r="AI18" s="982">
        <f>AI7*'Datu ievade'!$B$147</f>
        <v>33.299999999999997</v>
      </c>
    </row>
    <row r="19" spans="1:35" outlineLevel="1" x14ac:dyDescent="0.2">
      <c r="A19" s="162"/>
      <c r="B19" s="982"/>
      <c r="C19" s="982"/>
      <c r="D19" s="982"/>
      <c r="E19" s="982"/>
      <c r="F19" s="982"/>
      <c r="G19" s="982"/>
      <c r="H19" s="982"/>
      <c r="I19" s="982"/>
      <c r="J19" s="982"/>
      <c r="K19" s="982"/>
      <c r="L19" s="982"/>
      <c r="M19" s="982"/>
      <c r="N19" s="982"/>
      <c r="O19" s="982"/>
      <c r="P19" s="982"/>
      <c r="Q19" s="982"/>
      <c r="R19" s="982"/>
      <c r="S19" s="982"/>
      <c r="T19" s="982"/>
      <c r="U19" s="982"/>
      <c r="V19" s="982"/>
      <c r="W19" s="982"/>
      <c r="X19" s="982"/>
      <c r="Y19" s="982"/>
      <c r="Z19" s="982"/>
      <c r="AA19" s="982"/>
      <c r="AB19" s="982"/>
      <c r="AC19" s="982"/>
      <c r="AD19" s="982"/>
      <c r="AE19" s="982"/>
      <c r="AF19" s="982"/>
      <c r="AG19" s="982"/>
      <c r="AH19" s="982"/>
      <c r="AI19" s="982"/>
    </row>
    <row r="20" spans="1:35" outlineLevel="1" x14ac:dyDescent="0.2">
      <c r="A20" s="162" t="s">
        <v>222</v>
      </c>
      <c r="B20" s="982">
        <f>B10/B14</f>
        <v>0.46351084812623272</v>
      </c>
      <c r="C20" s="982">
        <f>C10/C14</f>
        <v>0.50991940483570986</v>
      </c>
      <c r="D20" s="982">
        <f>D10/D14</f>
        <v>0.47373620945167133</v>
      </c>
      <c r="E20" s="982">
        <f t="shared" ref="E20:AH20" si="5">E10/E14</f>
        <v>0.47041348855881177</v>
      </c>
      <c r="F20" s="982">
        <f t="shared" si="5"/>
        <v>0.47228381374722839</v>
      </c>
      <c r="G20" s="982">
        <f t="shared" si="5"/>
        <v>0.47131083812781843</v>
      </c>
      <c r="H20" s="982">
        <f t="shared" si="5"/>
        <v>0.47065557505914674</v>
      </c>
      <c r="I20" s="982">
        <f t="shared" si="5"/>
        <v>0.47215313889516919</v>
      </c>
      <c r="J20" s="982">
        <f t="shared" si="5"/>
        <v>0.47150259067357514</v>
      </c>
      <c r="K20" s="982">
        <f t="shared" si="5"/>
        <v>0.47060535506402795</v>
      </c>
      <c r="L20" s="982">
        <f t="shared" si="5"/>
        <v>0.47053360954353884</v>
      </c>
      <c r="M20" s="982">
        <f t="shared" si="5"/>
        <v>0.47271958268715641</v>
      </c>
      <c r="N20" s="982">
        <f t="shared" si="5"/>
        <v>0.46994382022471909</v>
      </c>
      <c r="O20" s="982">
        <f t="shared" si="5"/>
        <v>0.46988616764401525</v>
      </c>
      <c r="P20" s="982">
        <f t="shared" si="5"/>
        <v>0.47108555968887383</v>
      </c>
      <c r="Q20" s="982">
        <f t="shared" si="5"/>
        <v>0.47011820643201485</v>
      </c>
      <c r="R20" s="982">
        <f t="shared" si="5"/>
        <v>0.4712628782479103</v>
      </c>
      <c r="S20" s="982">
        <f t="shared" si="5"/>
        <v>0.47033120131720602</v>
      </c>
      <c r="T20" s="982">
        <f t="shared" si="5"/>
        <v>0.47142590634910769</v>
      </c>
      <c r="U20" s="982">
        <f t="shared" si="5"/>
        <v>0.47052740434332985</v>
      </c>
      <c r="V20" s="982">
        <f t="shared" si="5"/>
        <v>0.47179732313575529</v>
      </c>
      <c r="W20" s="982">
        <f t="shared" si="5"/>
        <v>0.47092547092547093</v>
      </c>
      <c r="X20" s="982">
        <f t="shared" si="5"/>
        <v>0.47192820984813616</v>
      </c>
      <c r="Y20" s="982">
        <f t="shared" si="5"/>
        <v>0.47108555968887389</v>
      </c>
      <c r="Z20" s="982">
        <f t="shared" si="5"/>
        <v>0.47204968944099379</v>
      </c>
      <c r="AA20" s="982">
        <f t="shared" si="5"/>
        <v>0.47123436650353456</v>
      </c>
      <c r="AB20" s="982">
        <f t="shared" si="5"/>
        <v>0.47084532565824549</v>
      </c>
      <c r="AC20" s="982">
        <f t="shared" si="5"/>
        <v>0.47234310281549835</v>
      </c>
      <c r="AD20" s="982">
        <f t="shared" si="5"/>
        <v>0.4719465158138339</v>
      </c>
      <c r="AE20" s="982">
        <f t="shared" si="5"/>
        <v>0.47156481808548206</v>
      </c>
      <c r="AF20" s="982">
        <f t="shared" si="5"/>
        <v>0.47229499283278142</v>
      </c>
      <c r="AG20" s="982">
        <f t="shared" si="5"/>
        <v>0.47281713344316306</v>
      </c>
      <c r="AH20" s="982">
        <f t="shared" si="5"/>
        <v>0.47196969696969704</v>
      </c>
      <c r="AI20" s="982">
        <f>AI10/AI14</f>
        <v>0.4724764249547081</v>
      </c>
    </row>
    <row r="21" spans="1:35" outlineLevel="1" x14ac:dyDescent="0.2">
      <c r="A21" s="162" t="s">
        <v>223</v>
      </c>
      <c r="B21" s="982">
        <f>B13/B14</f>
        <v>0.53648915187376722</v>
      </c>
      <c r="C21" s="982">
        <f>C13/C14</f>
        <v>0.49008059516429009</v>
      </c>
      <c r="D21" s="982">
        <f>D13/D14</f>
        <v>0.52626379054832861</v>
      </c>
      <c r="E21" s="982">
        <f t="shared" ref="E21:AH21" si="6">E13/E14</f>
        <v>0.52958651144118829</v>
      </c>
      <c r="F21" s="982">
        <f t="shared" si="6"/>
        <v>0.52771618625277161</v>
      </c>
      <c r="G21" s="982">
        <f t="shared" si="6"/>
        <v>0.52868916187218162</v>
      </c>
      <c r="H21" s="982">
        <f t="shared" si="6"/>
        <v>0.52934442494085321</v>
      </c>
      <c r="I21" s="982">
        <f t="shared" si="6"/>
        <v>0.5278468611048307</v>
      </c>
      <c r="J21" s="982">
        <f t="shared" si="6"/>
        <v>0.52849740932642486</v>
      </c>
      <c r="K21" s="982">
        <f t="shared" si="6"/>
        <v>0.52939464493597199</v>
      </c>
      <c r="L21" s="982">
        <f t="shared" si="6"/>
        <v>0.52946639045646127</v>
      </c>
      <c r="M21" s="982">
        <f t="shared" si="6"/>
        <v>0.5272804173128437</v>
      </c>
      <c r="N21" s="982">
        <f t="shared" si="6"/>
        <v>0.53005617977528097</v>
      </c>
      <c r="O21" s="982">
        <f t="shared" si="6"/>
        <v>0.53011383235598475</v>
      </c>
      <c r="P21" s="982">
        <f t="shared" si="6"/>
        <v>0.52891444031112611</v>
      </c>
      <c r="Q21" s="982">
        <f t="shared" si="6"/>
        <v>0.52988179356798526</v>
      </c>
      <c r="R21" s="982">
        <f t="shared" si="6"/>
        <v>0.52873712175208964</v>
      </c>
      <c r="S21" s="982">
        <f t="shared" si="6"/>
        <v>0.52966879868279404</v>
      </c>
      <c r="T21" s="982">
        <f t="shared" si="6"/>
        <v>0.52857409365089236</v>
      </c>
      <c r="U21" s="982">
        <f t="shared" si="6"/>
        <v>0.52947259565667004</v>
      </c>
      <c r="V21" s="982">
        <f t="shared" si="6"/>
        <v>0.52820267686424482</v>
      </c>
      <c r="W21" s="982">
        <f t="shared" si="6"/>
        <v>0.52907452907452901</v>
      </c>
      <c r="X21" s="982">
        <f t="shared" si="6"/>
        <v>0.52807179015186378</v>
      </c>
      <c r="Y21" s="982">
        <f t="shared" si="6"/>
        <v>0.528914440311126</v>
      </c>
      <c r="Z21" s="982">
        <f t="shared" si="6"/>
        <v>0.5279503105590061</v>
      </c>
      <c r="AA21" s="982">
        <f t="shared" si="6"/>
        <v>0.52876563349646555</v>
      </c>
      <c r="AB21" s="982">
        <f t="shared" si="6"/>
        <v>0.52915467434175467</v>
      </c>
      <c r="AC21" s="982">
        <f t="shared" si="6"/>
        <v>0.52765689718450171</v>
      </c>
      <c r="AD21" s="982">
        <f t="shared" si="6"/>
        <v>0.52805348418616616</v>
      </c>
      <c r="AE21" s="982">
        <f t="shared" si="6"/>
        <v>0.52843518191451777</v>
      </c>
      <c r="AF21" s="982">
        <f t="shared" si="6"/>
        <v>0.52770500716721869</v>
      </c>
      <c r="AG21" s="982">
        <f t="shared" si="6"/>
        <v>0.52718286655683688</v>
      </c>
      <c r="AH21" s="982">
        <f t="shared" si="6"/>
        <v>0.52803030303030307</v>
      </c>
      <c r="AI21" s="982">
        <f>AI13/AI14</f>
        <v>0.5275235750452919</v>
      </c>
    </row>
    <row r="22" spans="1:35" outlineLevel="1" x14ac:dyDescent="0.2">
      <c r="A22" s="162" t="s">
        <v>224</v>
      </c>
      <c r="B22" s="982">
        <f>B18*B20</f>
        <v>8.3431952662721898</v>
      </c>
      <c r="C22" s="982">
        <f>C18*C20</f>
        <v>9.4539057656540599</v>
      </c>
      <c r="D22" s="982">
        <f>D18*D20</f>
        <v>9.0388868763378891</v>
      </c>
      <c r="E22" s="982">
        <f t="shared" ref="E22:AH22" si="7">E18*E20</f>
        <v>9.2295126455238865</v>
      </c>
      <c r="F22" s="982">
        <f t="shared" si="7"/>
        <v>9.4362305986696242</v>
      </c>
      <c r="G22" s="982">
        <f t="shared" si="7"/>
        <v>9.5864624475198266</v>
      </c>
      <c r="H22" s="982">
        <f t="shared" si="7"/>
        <v>9.7425704037243364</v>
      </c>
      <c r="I22" s="982">
        <f t="shared" si="7"/>
        <v>9.9435451051322623</v>
      </c>
      <c r="J22" s="982">
        <f t="shared" si="7"/>
        <v>10.09958549222798</v>
      </c>
      <c r="K22" s="982">
        <f t="shared" si="7"/>
        <v>10.24978463329453</v>
      </c>
      <c r="L22" s="982">
        <f t="shared" si="7"/>
        <v>10.502310165011787</v>
      </c>
      <c r="M22" s="982">
        <f t="shared" si="7"/>
        <v>10.806369660228395</v>
      </c>
      <c r="N22" s="982">
        <f t="shared" si="7"/>
        <v>10.996685393258428</v>
      </c>
      <c r="O22" s="982">
        <f t="shared" si="7"/>
        <v>11.249074853397726</v>
      </c>
      <c r="P22" s="982">
        <f t="shared" si="7"/>
        <v>11.532174501183631</v>
      </c>
      <c r="Q22" s="982">
        <f t="shared" si="7"/>
        <v>11.762357524929012</v>
      </c>
      <c r="R22" s="982">
        <f t="shared" si="7"/>
        <v>12.045479168016588</v>
      </c>
      <c r="S22" s="982">
        <f t="shared" si="7"/>
        <v>12.275644354379077</v>
      </c>
      <c r="T22" s="982">
        <f t="shared" si="7"/>
        <v>12.55878614514023</v>
      </c>
      <c r="U22" s="982">
        <f t="shared" si="7"/>
        <v>12.788934850051705</v>
      </c>
      <c r="V22" s="982">
        <f t="shared" si="7"/>
        <v>13.078221797323136</v>
      </c>
      <c r="W22" s="982">
        <f t="shared" si="7"/>
        <v>13.308353808353809</v>
      </c>
      <c r="X22" s="982">
        <f t="shared" si="7"/>
        <v>13.591532443626322</v>
      </c>
      <c r="Y22" s="982">
        <f t="shared" si="7"/>
        <v>13.82165032127156</v>
      </c>
      <c r="Z22" s="982">
        <f t="shared" si="7"/>
        <v>14.104844720496894</v>
      </c>
      <c r="AA22" s="982">
        <f t="shared" si="7"/>
        <v>14.334949429037522</v>
      </c>
      <c r="AB22" s="982">
        <f t="shared" si="7"/>
        <v>14.662123440997766</v>
      </c>
      <c r="AC22" s="982">
        <f t="shared" si="7"/>
        <v>15.048851255701777</v>
      </c>
      <c r="AD22" s="982">
        <f t="shared" si="7"/>
        <v>15.376017485214708</v>
      </c>
      <c r="AE22" s="982">
        <f t="shared" si="7"/>
        <v>15.703108442246551</v>
      </c>
      <c r="AF22" s="982">
        <f t="shared" si="7"/>
        <v>15.727423261331619</v>
      </c>
      <c r="AG22" s="982">
        <f t="shared" si="7"/>
        <v>15.744810543657328</v>
      </c>
      <c r="AH22" s="982">
        <f t="shared" si="7"/>
        <v>15.716590909090909</v>
      </c>
      <c r="AI22" s="982">
        <f>AI18*AI20</f>
        <v>15.733464950991777</v>
      </c>
    </row>
    <row r="23" spans="1:35" outlineLevel="1" x14ac:dyDescent="0.2">
      <c r="A23" s="162" t="s">
        <v>225</v>
      </c>
      <c r="B23" s="982">
        <f>B18*B21</f>
        <v>9.6568047337278102</v>
      </c>
      <c r="C23" s="982">
        <f>C18*C21</f>
        <v>9.0860942343459374</v>
      </c>
      <c r="D23" s="982">
        <f>D18*D21</f>
        <v>10.041113123662111</v>
      </c>
      <c r="E23" s="982">
        <f t="shared" ref="E23:AH23" si="8">E18*E21</f>
        <v>10.390487354476114</v>
      </c>
      <c r="F23" s="982">
        <f t="shared" si="8"/>
        <v>10.54376940133038</v>
      </c>
      <c r="G23" s="982">
        <f t="shared" si="8"/>
        <v>10.753537552480173</v>
      </c>
      <c r="H23" s="982">
        <f t="shared" si="8"/>
        <v>10.957429596275661</v>
      </c>
      <c r="I23" s="982">
        <f t="shared" si="8"/>
        <v>11.116454894867735</v>
      </c>
      <c r="J23" s="982">
        <f t="shared" si="8"/>
        <v>11.320414507772021</v>
      </c>
      <c r="K23" s="982">
        <f t="shared" si="8"/>
        <v>11.530215366705471</v>
      </c>
      <c r="L23" s="982">
        <f t="shared" si="8"/>
        <v>11.817689834988215</v>
      </c>
      <c r="M23" s="982">
        <f t="shared" si="8"/>
        <v>12.053630339771606</v>
      </c>
      <c r="N23" s="982">
        <f t="shared" si="8"/>
        <v>12.403314606741576</v>
      </c>
      <c r="O23" s="982">
        <f t="shared" si="8"/>
        <v>12.690925146602275</v>
      </c>
      <c r="P23" s="982">
        <f t="shared" si="8"/>
        <v>12.947825498816368</v>
      </c>
      <c r="Q23" s="982">
        <f t="shared" si="8"/>
        <v>13.257642475070991</v>
      </c>
      <c r="R23" s="982">
        <f t="shared" si="8"/>
        <v>13.514520831983413</v>
      </c>
      <c r="S23" s="982">
        <f t="shared" si="8"/>
        <v>13.824355645620924</v>
      </c>
      <c r="T23" s="982">
        <f t="shared" si="8"/>
        <v>14.081213854859772</v>
      </c>
      <c r="U23" s="982">
        <f t="shared" si="8"/>
        <v>14.391065149948291</v>
      </c>
      <c r="V23" s="982">
        <f t="shared" si="8"/>
        <v>14.641778202676866</v>
      </c>
      <c r="W23" s="982">
        <f t="shared" si="8"/>
        <v>14.951646191646191</v>
      </c>
      <c r="X23" s="982">
        <f t="shared" si="8"/>
        <v>15.208467556373677</v>
      </c>
      <c r="Y23" s="982">
        <f t="shared" si="8"/>
        <v>15.518349678728438</v>
      </c>
      <c r="Z23" s="982">
        <f t="shared" si="8"/>
        <v>15.775155279503101</v>
      </c>
      <c r="AA23" s="982">
        <f t="shared" si="8"/>
        <v>16.085050570962483</v>
      </c>
      <c r="AB23" s="982">
        <f t="shared" si="8"/>
        <v>16.47787655900224</v>
      </c>
      <c r="AC23" s="982">
        <f t="shared" si="8"/>
        <v>16.811148744298222</v>
      </c>
      <c r="AD23" s="982">
        <f t="shared" si="8"/>
        <v>17.203982514785292</v>
      </c>
      <c r="AE23" s="982">
        <f t="shared" si="8"/>
        <v>17.596891557753441</v>
      </c>
      <c r="AF23" s="982">
        <f t="shared" si="8"/>
        <v>17.572576738668381</v>
      </c>
      <c r="AG23" s="982">
        <f t="shared" si="8"/>
        <v>17.555189456342667</v>
      </c>
      <c r="AH23" s="982">
        <f t="shared" si="8"/>
        <v>17.58340909090909</v>
      </c>
      <c r="AI23" s="982">
        <f>AI18*AI21</f>
        <v>17.56653504900822</v>
      </c>
    </row>
    <row r="24" spans="1:35" outlineLevel="1" x14ac:dyDescent="0.2">
      <c r="A24" s="162" t="s">
        <v>321</v>
      </c>
      <c r="B24" s="982">
        <f>B22/B8</f>
        <v>1.5891800507185123</v>
      </c>
      <c r="C24" s="982">
        <f>C22/C8</f>
        <v>1.8007439553626781</v>
      </c>
      <c r="D24" s="982">
        <f>D22/D8</f>
        <v>1.7216927383500742</v>
      </c>
      <c r="E24" s="982">
        <f t="shared" ref="E24:AH24" si="9">E22/E8</f>
        <v>1.7580024086712165</v>
      </c>
      <c r="F24" s="982">
        <f t="shared" si="9"/>
        <v>1.7973772568894522</v>
      </c>
      <c r="G24" s="982">
        <f t="shared" si="9"/>
        <v>1.8259928471466336</v>
      </c>
      <c r="H24" s="982">
        <f t="shared" si="9"/>
        <v>1.8557276959474927</v>
      </c>
      <c r="I24" s="982">
        <f t="shared" si="9"/>
        <v>1.8940085914537643</v>
      </c>
      <c r="J24" s="982">
        <f t="shared" si="9"/>
        <v>1.9237305699481868</v>
      </c>
      <c r="K24" s="982">
        <f t="shared" si="9"/>
        <v>1.9523399301513389</v>
      </c>
      <c r="L24" s="982">
        <f t="shared" si="9"/>
        <v>2.0004400314308164</v>
      </c>
      <c r="M24" s="982">
        <f t="shared" si="9"/>
        <v>2.0583561257577894</v>
      </c>
      <c r="N24" s="982">
        <f t="shared" si="9"/>
        <v>2.0946067415730338</v>
      </c>
      <c r="O24" s="982">
        <f t="shared" si="9"/>
        <v>2.1426809244567098</v>
      </c>
      <c r="P24" s="982">
        <f t="shared" si="9"/>
        <v>2.19660466689212</v>
      </c>
      <c r="Q24" s="982">
        <f t="shared" si="9"/>
        <v>2.2404490523674307</v>
      </c>
      <c r="R24" s="982">
        <f t="shared" si="9"/>
        <v>2.2943769843841118</v>
      </c>
      <c r="S24" s="982">
        <f t="shared" si="9"/>
        <v>2.3382179722626812</v>
      </c>
      <c r="T24" s="982">
        <f t="shared" si="9"/>
        <v>2.3921497419314726</v>
      </c>
      <c r="U24" s="982">
        <f t="shared" si="9"/>
        <v>2.4359875904860391</v>
      </c>
      <c r="V24" s="982">
        <f t="shared" si="9"/>
        <v>2.4910898661567877</v>
      </c>
      <c r="W24" s="982">
        <f t="shared" si="9"/>
        <v>2.5349245349245351</v>
      </c>
      <c r="X24" s="982">
        <f t="shared" si="9"/>
        <v>2.5888633225954898</v>
      </c>
      <c r="Y24" s="982">
        <f t="shared" si="9"/>
        <v>2.6326952992898209</v>
      </c>
      <c r="Z24" s="982">
        <f t="shared" si="9"/>
        <v>2.6866370896184559</v>
      </c>
      <c r="AA24" s="982">
        <f t="shared" si="9"/>
        <v>2.730466557911909</v>
      </c>
      <c r="AB24" s="982">
        <f t="shared" si="9"/>
        <v>2.7927854173329076</v>
      </c>
      <c r="AC24" s="982">
        <f t="shared" si="9"/>
        <v>2.8664478582289101</v>
      </c>
      <c r="AD24" s="982">
        <f t="shared" si="9"/>
        <v>2.9287652352789921</v>
      </c>
      <c r="AE24" s="982">
        <f t="shared" si="9"/>
        <v>2.9910682747136286</v>
      </c>
      <c r="AF24" s="982">
        <f t="shared" si="9"/>
        <v>2.9956996688250705</v>
      </c>
      <c r="AG24" s="982">
        <f t="shared" si="9"/>
        <v>2.9990115321252055</v>
      </c>
      <c r="AH24" s="982">
        <f t="shared" si="9"/>
        <v>2.9936363636363637</v>
      </c>
      <c r="AI24" s="982">
        <f>AI22/AI8</f>
        <v>2.9968504668555767</v>
      </c>
    </row>
    <row r="25" spans="1:35" outlineLevel="1" x14ac:dyDescent="0.2">
      <c r="A25" s="162" t="s">
        <v>322</v>
      </c>
      <c r="B25" s="982">
        <f>B23/B11</f>
        <v>1.8934911242603552</v>
      </c>
      <c r="C25" s="982">
        <f>C23/C11</f>
        <v>1.7815871047737133</v>
      </c>
      <c r="D25" s="982">
        <f>D23/D11</f>
        <v>1.9688457105219828</v>
      </c>
      <c r="E25" s="982">
        <f t="shared" ref="E25:AH25" si="10">E23/E11</f>
        <v>2.0373504616619833</v>
      </c>
      <c r="F25" s="982">
        <f t="shared" si="10"/>
        <v>2.0674057649667414</v>
      </c>
      <c r="G25" s="982">
        <f t="shared" si="10"/>
        <v>2.1085367749961126</v>
      </c>
      <c r="H25" s="982">
        <f t="shared" si="10"/>
        <v>2.1485156071128748</v>
      </c>
      <c r="I25" s="982">
        <f t="shared" si="10"/>
        <v>2.1796970382093597</v>
      </c>
      <c r="J25" s="982">
        <f t="shared" si="10"/>
        <v>2.2196891191709849</v>
      </c>
      <c r="K25" s="982">
        <f t="shared" si="10"/>
        <v>2.260826542491269</v>
      </c>
      <c r="L25" s="982">
        <f t="shared" si="10"/>
        <v>2.3171940852918071</v>
      </c>
      <c r="M25" s="982">
        <f t="shared" si="10"/>
        <v>2.3634569293669818</v>
      </c>
      <c r="N25" s="982">
        <f t="shared" si="10"/>
        <v>2.4320224719101131</v>
      </c>
      <c r="O25" s="982">
        <f t="shared" si="10"/>
        <v>2.4884166954122109</v>
      </c>
      <c r="P25" s="982">
        <f t="shared" si="10"/>
        <v>2.5387893134934054</v>
      </c>
      <c r="Q25" s="982">
        <f t="shared" si="10"/>
        <v>2.5995377402099984</v>
      </c>
      <c r="R25" s="982">
        <f t="shared" si="10"/>
        <v>2.6499060454869441</v>
      </c>
      <c r="S25" s="982">
        <f t="shared" si="10"/>
        <v>2.7106579697295934</v>
      </c>
      <c r="T25" s="982">
        <f t="shared" si="10"/>
        <v>2.7610223244823087</v>
      </c>
      <c r="U25" s="982">
        <f t="shared" si="10"/>
        <v>2.8217774803820181</v>
      </c>
      <c r="V25" s="982">
        <f t="shared" si="10"/>
        <v>2.8709369024856604</v>
      </c>
      <c r="W25" s="982">
        <f t="shared" si="10"/>
        <v>2.9316953316953316</v>
      </c>
      <c r="X25" s="982">
        <f t="shared" si="10"/>
        <v>2.9820524620340545</v>
      </c>
      <c r="Y25" s="982">
        <f t="shared" si="10"/>
        <v>3.0428136624957722</v>
      </c>
      <c r="Z25" s="982">
        <f t="shared" si="10"/>
        <v>3.0931677018633534</v>
      </c>
      <c r="AA25" s="982">
        <f t="shared" si="10"/>
        <v>3.153931484502448</v>
      </c>
      <c r="AB25" s="982">
        <f t="shared" si="10"/>
        <v>3.2309561880396553</v>
      </c>
      <c r="AC25" s="982">
        <f t="shared" si="10"/>
        <v>3.2963036753525929</v>
      </c>
      <c r="AD25" s="982">
        <f t="shared" si="10"/>
        <v>3.3733299048598613</v>
      </c>
      <c r="AE25" s="982">
        <f t="shared" si="10"/>
        <v>3.4503708936771456</v>
      </c>
      <c r="AF25" s="982">
        <f t="shared" si="10"/>
        <v>3.4456032820918399</v>
      </c>
      <c r="AG25" s="982">
        <f t="shared" si="10"/>
        <v>3.4421940110475822</v>
      </c>
      <c r="AH25" s="982">
        <f t="shared" si="10"/>
        <v>3.4477272727272728</v>
      </c>
      <c r="AI25" s="982">
        <f>AI23/AI11</f>
        <v>3.4444186370604353</v>
      </c>
    </row>
    <row r="26" spans="1:35" outlineLevel="1" x14ac:dyDescent="0.2">
      <c r="B26" s="982"/>
      <c r="C26" s="982"/>
      <c r="D26" s="982"/>
      <c r="E26" s="982"/>
      <c r="F26" s="982"/>
      <c r="G26" s="982"/>
      <c r="H26" s="982"/>
      <c r="I26" s="982"/>
      <c r="J26" s="743"/>
      <c r="K26" s="982"/>
      <c r="L26" s="982"/>
      <c r="M26" s="982"/>
      <c r="N26" s="982"/>
      <c r="O26" s="982"/>
      <c r="P26" s="982"/>
      <c r="Q26" s="982"/>
      <c r="R26" s="982"/>
      <c r="S26" s="982"/>
      <c r="T26" s="982"/>
      <c r="U26" s="982"/>
    </row>
    <row r="27" spans="1:35" outlineLevel="1" x14ac:dyDescent="0.2">
      <c r="A27" s="162" t="s">
        <v>381</v>
      </c>
      <c r="B27" s="982">
        <f>MIN(B9,B24)</f>
        <v>1.1374</v>
      </c>
      <c r="C27" s="982">
        <f t="shared" ref="C27:AH27" si="11">MIN(C9,C24)</f>
        <v>1.1374</v>
      </c>
      <c r="D27" s="982">
        <f t="shared" si="11"/>
        <v>0.99461999999999995</v>
      </c>
      <c r="E27" s="982">
        <f t="shared" si="11"/>
        <v>1.0127699999999999</v>
      </c>
      <c r="F27" s="982">
        <f t="shared" si="11"/>
        <v>1.0309199999999998</v>
      </c>
      <c r="G27" s="982">
        <f t="shared" si="11"/>
        <v>1.04786</v>
      </c>
      <c r="H27" s="982">
        <f t="shared" si="11"/>
        <v>1.0660099999999999</v>
      </c>
      <c r="I27" s="982">
        <f t="shared" si="11"/>
        <v>1.0829500000000001</v>
      </c>
      <c r="J27" s="982">
        <f t="shared" si="11"/>
        <v>1.1011</v>
      </c>
      <c r="K27" s="982">
        <f t="shared" si="11"/>
        <v>1.1180399999999999</v>
      </c>
      <c r="L27" s="982">
        <f t="shared" si="11"/>
        <v>1.1386099999999999</v>
      </c>
      <c r="M27" s="982">
        <f t="shared" si="11"/>
        <v>1.1591799999999999</v>
      </c>
      <c r="N27" s="982">
        <f t="shared" si="11"/>
        <v>1.15676</v>
      </c>
      <c r="O27" s="982">
        <f t="shared" si="11"/>
        <v>1.17733</v>
      </c>
      <c r="P27" s="982">
        <f t="shared" si="11"/>
        <v>1.2039499999999999</v>
      </c>
      <c r="Q27" s="982">
        <f t="shared" si="11"/>
        <v>1.2305699999999999</v>
      </c>
      <c r="R27" s="982">
        <f t="shared" si="11"/>
        <v>1.2571899999999998</v>
      </c>
      <c r="S27" s="982">
        <f t="shared" si="11"/>
        <v>1.2838099999999999</v>
      </c>
      <c r="T27" s="982">
        <f t="shared" si="11"/>
        <v>1.31043</v>
      </c>
      <c r="U27" s="982">
        <f t="shared" si="11"/>
        <v>1.3370499999999998</v>
      </c>
      <c r="V27" s="982">
        <f t="shared" si="11"/>
        <v>1.3648799999999999</v>
      </c>
      <c r="W27" s="982">
        <f t="shared" si="11"/>
        <v>1.3915</v>
      </c>
      <c r="X27" s="982">
        <f t="shared" si="11"/>
        <v>1.4181199999999998</v>
      </c>
      <c r="Y27" s="982">
        <f t="shared" si="11"/>
        <v>1.4447399999999999</v>
      </c>
      <c r="Z27" s="982">
        <f t="shared" si="11"/>
        <v>1.47136</v>
      </c>
      <c r="AA27" s="982">
        <f t="shared" si="11"/>
        <v>1.4979799999999999</v>
      </c>
      <c r="AB27" s="982">
        <f t="shared" si="11"/>
        <v>1.52702</v>
      </c>
      <c r="AC27" s="982">
        <f t="shared" si="11"/>
        <v>1.5572699999999999</v>
      </c>
      <c r="AD27" s="982">
        <f t="shared" si="11"/>
        <v>1.5863099999999999</v>
      </c>
      <c r="AE27" s="982">
        <f t="shared" si="11"/>
        <v>1.6153499999999998</v>
      </c>
      <c r="AF27" s="982">
        <f t="shared" si="11"/>
        <v>1.6516499999999998</v>
      </c>
      <c r="AG27" s="982">
        <f t="shared" si="11"/>
        <v>1.6867399999999999</v>
      </c>
      <c r="AH27" s="982">
        <f t="shared" si="11"/>
        <v>1.7230399999999999</v>
      </c>
      <c r="AI27" s="982">
        <f>MIN(AI9,AI24)</f>
        <v>1.75813</v>
      </c>
    </row>
    <row r="28" spans="1:35" outlineLevel="1" x14ac:dyDescent="0.2">
      <c r="A28" s="162" t="s">
        <v>382</v>
      </c>
      <c r="B28" s="982">
        <f>MIN(B12,B25)</f>
        <v>1.3552000000000002</v>
      </c>
      <c r="C28" s="982">
        <f t="shared" ref="C28:AH28" si="12">MIN(C12,C25)</f>
        <v>1.1253</v>
      </c>
      <c r="D28" s="982">
        <f t="shared" si="12"/>
        <v>1.1374</v>
      </c>
      <c r="E28" s="982">
        <f t="shared" si="12"/>
        <v>1.1737</v>
      </c>
      <c r="F28" s="982">
        <f t="shared" si="12"/>
        <v>1.1858</v>
      </c>
      <c r="G28" s="982">
        <f t="shared" si="12"/>
        <v>1.21</v>
      </c>
      <c r="H28" s="982">
        <f t="shared" si="12"/>
        <v>1.2342</v>
      </c>
      <c r="I28" s="982">
        <f t="shared" si="12"/>
        <v>1.2463</v>
      </c>
      <c r="J28" s="982">
        <f t="shared" si="12"/>
        <v>1.2705</v>
      </c>
      <c r="K28" s="982">
        <f t="shared" si="12"/>
        <v>1.2947</v>
      </c>
      <c r="L28" s="982">
        <f t="shared" si="12"/>
        <v>1.3189</v>
      </c>
      <c r="M28" s="982">
        <f t="shared" si="12"/>
        <v>1.331</v>
      </c>
      <c r="N28" s="982">
        <f t="shared" si="12"/>
        <v>1.3431000000000002</v>
      </c>
      <c r="O28" s="982">
        <f t="shared" si="12"/>
        <v>1.3672999999999997</v>
      </c>
      <c r="P28" s="982">
        <f t="shared" si="12"/>
        <v>1.3915</v>
      </c>
      <c r="Q28" s="982">
        <f t="shared" si="12"/>
        <v>1.4278</v>
      </c>
      <c r="R28" s="982">
        <f t="shared" si="12"/>
        <v>1.452</v>
      </c>
      <c r="S28" s="982">
        <f t="shared" si="12"/>
        <v>1.4883</v>
      </c>
      <c r="T28" s="982">
        <f t="shared" si="12"/>
        <v>1.5125</v>
      </c>
      <c r="U28" s="982">
        <f t="shared" si="12"/>
        <v>1.5488</v>
      </c>
      <c r="V28" s="982">
        <f t="shared" si="12"/>
        <v>1.573</v>
      </c>
      <c r="W28" s="982">
        <f t="shared" si="12"/>
        <v>1.6093</v>
      </c>
      <c r="X28" s="982">
        <f t="shared" si="12"/>
        <v>1.6335</v>
      </c>
      <c r="Y28" s="982">
        <f t="shared" si="12"/>
        <v>1.6697999999999997</v>
      </c>
      <c r="Z28" s="982">
        <f t="shared" si="12"/>
        <v>1.694</v>
      </c>
      <c r="AA28" s="982">
        <f t="shared" si="12"/>
        <v>1.7302999999999999</v>
      </c>
      <c r="AB28" s="982">
        <f t="shared" si="12"/>
        <v>1.7665999999999999</v>
      </c>
      <c r="AC28" s="982">
        <f t="shared" si="12"/>
        <v>1.7907999999999999</v>
      </c>
      <c r="AD28" s="982">
        <f t="shared" si="12"/>
        <v>1.8270999999999999</v>
      </c>
      <c r="AE28" s="982">
        <f t="shared" si="12"/>
        <v>1.8633999999999999</v>
      </c>
      <c r="AF28" s="982">
        <f t="shared" si="12"/>
        <v>1.8996999999999999</v>
      </c>
      <c r="AG28" s="982">
        <f t="shared" si="12"/>
        <v>1.9359999999999999</v>
      </c>
      <c r="AH28" s="982">
        <f t="shared" si="12"/>
        <v>1.9843999999999997</v>
      </c>
      <c r="AI28" s="982">
        <f>MIN(AI12,AI25)</f>
        <v>2.0206999999999997</v>
      </c>
    </row>
    <row r="29" spans="1:35" ht="25.5" x14ac:dyDescent="0.2">
      <c r="A29" s="789" t="s">
        <v>453</v>
      </c>
      <c r="B29" s="790">
        <v>0.04</v>
      </c>
      <c r="C29" s="982"/>
      <c r="D29" s="982"/>
      <c r="E29" s="982"/>
      <c r="F29" s="982"/>
      <c r="G29" s="982"/>
      <c r="H29" s="982"/>
      <c r="I29" s="982"/>
      <c r="J29" s="743"/>
      <c r="K29" s="982"/>
      <c r="L29" s="982"/>
      <c r="M29" s="982"/>
      <c r="N29" s="982"/>
      <c r="O29" s="982"/>
      <c r="P29" s="982"/>
      <c r="Q29" s="982"/>
      <c r="R29" s="982"/>
      <c r="S29" s="982"/>
      <c r="T29" s="982"/>
      <c r="U29" s="982"/>
    </row>
    <row r="30" spans="1:35" ht="25.5" x14ac:dyDescent="0.2">
      <c r="A30" s="983" t="str">
        <f>"Pie ierobežota tarifu apjoma, kas nepārsniedz "&amp;'Datu ievade'!B147*100&amp;"% no mājsaimniecību ienākumiem"</f>
        <v>Pie ierobežota tarifu apjoma, kas nepārsniedz 4% no mājsaimniecību ienākumiem</v>
      </c>
      <c r="B30" s="984">
        <f>Aprekini!B5</f>
        <v>2019</v>
      </c>
      <c r="C30" s="976">
        <f t="shared" ref="C30:AG30" si="13">B30+1</f>
        <v>2020</v>
      </c>
      <c r="D30" s="976">
        <f t="shared" si="13"/>
        <v>2021</v>
      </c>
      <c r="E30" s="976">
        <f t="shared" si="13"/>
        <v>2022</v>
      </c>
      <c r="F30" s="976">
        <f t="shared" si="13"/>
        <v>2023</v>
      </c>
      <c r="G30" s="976">
        <f t="shared" si="13"/>
        <v>2024</v>
      </c>
      <c r="H30" s="976">
        <f t="shared" si="13"/>
        <v>2025</v>
      </c>
      <c r="I30" s="976">
        <f t="shared" si="13"/>
        <v>2026</v>
      </c>
      <c r="J30" s="20">
        <f t="shared" si="13"/>
        <v>2027</v>
      </c>
      <c r="K30" s="976">
        <f t="shared" si="13"/>
        <v>2028</v>
      </c>
      <c r="L30" s="976">
        <f t="shared" si="13"/>
        <v>2029</v>
      </c>
      <c r="M30" s="976">
        <f t="shared" si="13"/>
        <v>2030</v>
      </c>
      <c r="N30" s="976">
        <f t="shared" si="13"/>
        <v>2031</v>
      </c>
      <c r="O30" s="976">
        <f t="shared" si="13"/>
        <v>2032</v>
      </c>
      <c r="P30" s="976">
        <f t="shared" si="13"/>
        <v>2033</v>
      </c>
      <c r="Q30" s="976">
        <f t="shared" si="13"/>
        <v>2034</v>
      </c>
      <c r="R30" s="976">
        <f t="shared" si="13"/>
        <v>2035</v>
      </c>
      <c r="S30" s="976">
        <f t="shared" si="13"/>
        <v>2036</v>
      </c>
      <c r="T30" s="976">
        <f t="shared" si="13"/>
        <v>2037</v>
      </c>
      <c r="U30" s="976">
        <f t="shared" si="13"/>
        <v>2038</v>
      </c>
      <c r="V30" s="976">
        <f t="shared" si="13"/>
        <v>2039</v>
      </c>
      <c r="W30" s="976">
        <f t="shared" si="13"/>
        <v>2040</v>
      </c>
      <c r="X30" s="976">
        <f t="shared" si="13"/>
        <v>2041</v>
      </c>
      <c r="Y30" s="976">
        <f t="shared" si="13"/>
        <v>2042</v>
      </c>
      <c r="Z30" s="976">
        <f t="shared" si="13"/>
        <v>2043</v>
      </c>
      <c r="AA30" s="976">
        <f t="shared" si="13"/>
        <v>2044</v>
      </c>
      <c r="AB30" s="976">
        <f t="shared" si="13"/>
        <v>2045</v>
      </c>
      <c r="AC30" s="976">
        <f t="shared" si="13"/>
        <v>2046</v>
      </c>
      <c r="AD30" s="976">
        <f t="shared" si="13"/>
        <v>2047</v>
      </c>
      <c r="AE30" s="976">
        <f t="shared" si="13"/>
        <v>2048</v>
      </c>
      <c r="AF30" s="976">
        <f t="shared" si="13"/>
        <v>2049</v>
      </c>
      <c r="AG30" s="977">
        <f t="shared" si="13"/>
        <v>2050</v>
      </c>
      <c r="AH30" s="977">
        <f>AG30+1</f>
        <v>2051</v>
      </c>
      <c r="AI30" s="977">
        <f>AH30+1</f>
        <v>2052</v>
      </c>
    </row>
    <row r="31" spans="1:35" s="235" customFormat="1" ht="14.25" customHeight="1" x14ac:dyDescent="0.2">
      <c r="A31" s="213" t="str">
        <f t="shared" ref="A31:AH31" si="14">A7</f>
        <v>11.1.Vidējie mājsaimniecības mēneša ienākumi (EUR)</v>
      </c>
      <c r="B31" s="978">
        <f t="shared" si="14"/>
        <v>450</v>
      </c>
      <c r="C31" s="978">
        <f t="shared" si="14"/>
        <v>463.5</v>
      </c>
      <c r="D31" s="979">
        <f t="shared" si="14"/>
        <v>477</v>
      </c>
      <c r="E31" s="979">
        <f t="shared" si="14"/>
        <v>490.50000000000006</v>
      </c>
      <c r="F31" s="979">
        <f t="shared" si="14"/>
        <v>499.50000000000006</v>
      </c>
      <c r="G31" s="979">
        <f t="shared" si="14"/>
        <v>508.49999999999994</v>
      </c>
      <c r="H31" s="979">
        <f t="shared" si="14"/>
        <v>517.5</v>
      </c>
      <c r="I31" s="979">
        <f t="shared" si="14"/>
        <v>526.5</v>
      </c>
      <c r="J31" s="979">
        <f t="shared" si="14"/>
        <v>535.5</v>
      </c>
      <c r="K31" s="979">
        <f t="shared" si="14"/>
        <v>544.5</v>
      </c>
      <c r="L31" s="979">
        <f t="shared" si="14"/>
        <v>558</v>
      </c>
      <c r="M31" s="979">
        <f t="shared" si="14"/>
        <v>571.5</v>
      </c>
      <c r="N31" s="979">
        <f t="shared" si="14"/>
        <v>585</v>
      </c>
      <c r="O31" s="979">
        <f t="shared" si="14"/>
        <v>598.5</v>
      </c>
      <c r="P31" s="979">
        <f t="shared" si="14"/>
        <v>612</v>
      </c>
      <c r="Q31" s="979">
        <f t="shared" si="14"/>
        <v>625.5</v>
      </c>
      <c r="R31" s="979">
        <f t="shared" si="14"/>
        <v>639</v>
      </c>
      <c r="S31" s="979">
        <f t="shared" si="14"/>
        <v>652.5</v>
      </c>
      <c r="T31" s="979">
        <f t="shared" si="14"/>
        <v>666</v>
      </c>
      <c r="U31" s="979">
        <f t="shared" si="14"/>
        <v>679.5</v>
      </c>
      <c r="V31" s="979">
        <f t="shared" si="14"/>
        <v>693</v>
      </c>
      <c r="W31" s="979">
        <f t="shared" si="14"/>
        <v>706.5</v>
      </c>
      <c r="X31" s="979">
        <f t="shared" si="14"/>
        <v>720</v>
      </c>
      <c r="Y31" s="979">
        <f t="shared" si="14"/>
        <v>733.5</v>
      </c>
      <c r="Z31" s="979">
        <f t="shared" si="14"/>
        <v>747</v>
      </c>
      <c r="AA31" s="979">
        <f t="shared" si="14"/>
        <v>760.5</v>
      </c>
      <c r="AB31" s="979">
        <f t="shared" si="14"/>
        <v>778.5</v>
      </c>
      <c r="AC31" s="979">
        <f t="shared" si="14"/>
        <v>796.5</v>
      </c>
      <c r="AD31" s="979">
        <f t="shared" si="14"/>
        <v>814.5</v>
      </c>
      <c r="AE31" s="979">
        <f t="shared" si="14"/>
        <v>832.5</v>
      </c>
      <c r="AF31" s="979">
        <f t="shared" si="14"/>
        <v>832.5</v>
      </c>
      <c r="AG31" s="979">
        <f t="shared" si="14"/>
        <v>832.5</v>
      </c>
      <c r="AH31" s="979">
        <f t="shared" si="14"/>
        <v>832.5</v>
      </c>
      <c r="AI31" s="979">
        <f>AI7</f>
        <v>832.5</v>
      </c>
    </row>
    <row r="32" spans="1:35" s="235" customFormat="1" ht="13.5" customHeight="1" x14ac:dyDescent="0.2">
      <c r="A32" s="213" t="str">
        <f t="shared" ref="A32:AH32" si="15">A8</f>
        <v>11.2. Ūdens patēriņš (m3/uz mājsaimniecību mēnesī)</v>
      </c>
      <c r="B32" s="978">
        <f t="shared" si="15"/>
        <v>5.25</v>
      </c>
      <c r="C32" s="979">
        <f t="shared" si="15"/>
        <v>5.25</v>
      </c>
      <c r="D32" s="979">
        <f t="shared" si="15"/>
        <v>5.25</v>
      </c>
      <c r="E32" s="979">
        <f t="shared" si="15"/>
        <v>5.25</v>
      </c>
      <c r="F32" s="979">
        <f t="shared" si="15"/>
        <v>5.25</v>
      </c>
      <c r="G32" s="979">
        <f t="shared" si="15"/>
        <v>5.25</v>
      </c>
      <c r="H32" s="979">
        <f t="shared" si="15"/>
        <v>5.25</v>
      </c>
      <c r="I32" s="979">
        <f t="shared" si="15"/>
        <v>5.25</v>
      </c>
      <c r="J32" s="979">
        <f t="shared" si="15"/>
        <v>5.25</v>
      </c>
      <c r="K32" s="979">
        <f t="shared" si="15"/>
        <v>5.25</v>
      </c>
      <c r="L32" s="979">
        <f t="shared" si="15"/>
        <v>5.25</v>
      </c>
      <c r="M32" s="979">
        <f t="shared" si="15"/>
        <v>5.25</v>
      </c>
      <c r="N32" s="979">
        <f t="shared" si="15"/>
        <v>5.25</v>
      </c>
      <c r="O32" s="979">
        <f t="shared" si="15"/>
        <v>5.25</v>
      </c>
      <c r="P32" s="979">
        <f t="shared" si="15"/>
        <v>5.25</v>
      </c>
      <c r="Q32" s="979">
        <f t="shared" si="15"/>
        <v>5.25</v>
      </c>
      <c r="R32" s="979">
        <f t="shared" si="15"/>
        <v>5.25</v>
      </c>
      <c r="S32" s="979">
        <f t="shared" si="15"/>
        <v>5.25</v>
      </c>
      <c r="T32" s="979">
        <f t="shared" si="15"/>
        <v>5.25</v>
      </c>
      <c r="U32" s="979">
        <f t="shared" si="15"/>
        <v>5.25</v>
      </c>
      <c r="V32" s="979">
        <f t="shared" si="15"/>
        <v>5.25</v>
      </c>
      <c r="W32" s="979">
        <f t="shared" si="15"/>
        <v>5.25</v>
      </c>
      <c r="X32" s="979">
        <f t="shared" si="15"/>
        <v>5.25</v>
      </c>
      <c r="Y32" s="979">
        <f t="shared" si="15"/>
        <v>5.25</v>
      </c>
      <c r="Z32" s="979">
        <f t="shared" si="15"/>
        <v>5.25</v>
      </c>
      <c r="AA32" s="979">
        <f t="shared" si="15"/>
        <v>5.25</v>
      </c>
      <c r="AB32" s="979">
        <f t="shared" si="15"/>
        <v>5.25</v>
      </c>
      <c r="AC32" s="979">
        <f t="shared" si="15"/>
        <v>5.25</v>
      </c>
      <c r="AD32" s="979">
        <f t="shared" si="15"/>
        <v>5.25</v>
      </c>
      <c r="AE32" s="979">
        <f t="shared" si="15"/>
        <v>5.25</v>
      </c>
      <c r="AF32" s="979">
        <f t="shared" si="15"/>
        <v>5.25</v>
      </c>
      <c r="AG32" s="979">
        <f t="shared" si="15"/>
        <v>5.25</v>
      </c>
      <c r="AH32" s="979">
        <f t="shared" si="15"/>
        <v>5.25</v>
      </c>
      <c r="AI32" s="979">
        <f>AI8</f>
        <v>5.25</v>
      </c>
    </row>
    <row r="33" spans="1:35" s="235" customFormat="1" ht="13.5" customHeight="1" x14ac:dyDescent="0.2">
      <c r="A33" s="213" t="str">
        <f t="shared" ref="A33:A39" si="16">A9</f>
        <v>11.3. Ūdensapgādes tarifs (EUR/m3), iesk. PVN 21%</v>
      </c>
      <c r="B33" s="731">
        <f>B27</f>
        <v>1.1374</v>
      </c>
      <c r="C33" s="731">
        <f t="shared" ref="C33:AH33" si="17">C27</f>
        <v>1.1374</v>
      </c>
      <c r="D33" s="731">
        <f t="shared" si="17"/>
        <v>0.99461999999999995</v>
      </c>
      <c r="E33" s="731">
        <f t="shared" si="17"/>
        <v>1.0127699999999999</v>
      </c>
      <c r="F33" s="731">
        <f t="shared" si="17"/>
        <v>1.0309199999999998</v>
      </c>
      <c r="G33" s="731">
        <f t="shared" si="17"/>
        <v>1.04786</v>
      </c>
      <c r="H33" s="731">
        <f t="shared" si="17"/>
        <v>1.0660099999999999</v>
      </c>
      <c r="I33" s="731">
        <f t="shared" si="17"/>
        <v>1.0829500000000001</v>
      </c>
      <c r="J33" s="731">
        <f t="shared" si="17"/>
        <v>1.1011</v>
      </c>
      <c r="K33" s="731">
        <f t="shared" si="17"/>
        <v>1.1180399999999999</v>
      </c>
      <c r="L33" s="731">
        <f t="shared" si="17"/>
        <v>1.1386099999999999</v>
      </c>
      <c r="M33" s="731">
        <f t="shared" si="17"/>
        <v>1.1591799999999999</v>
      </c>
      <c r="N33" s="731">
        <f t="shared" si="17"/>
        <v>1.15676</v>
      </c>
      <c r="O33" s="731">
        <f t="shared" si="17"/>
        <v>1.17733</v>
      </c>
      <c r="P33" s="731">
        <f t="shared" si="17"/>
        <v>1.2039499999999999</v>
      </c>
      <c r="Q33" s="731">
        <f t="shared" si="17"/>
        <v>1.2305699999999999</v>
      </c>
      <c r="R33" s="731">
        <f t="shared" si="17"/>
        <v>1.2571899999999998</v>
      </c>
      <c r="S33" s="731">
        <f t="shared" si="17"/>
        <v>1.2838099999999999</v>
      </c>
      <c r="T33" s="731">
        <f t="shared" si="17"/>
        <v>1.31043</v>
      </c>
      <c r="U33" s="731">
        <f t="shared" si="17"/>
        <v>1.3370499999999998</v>
      </c>
      <c r="V33" s="731">
        <f t="shared" si="17"/>
        <v>1.3648799999999999</v>
      </c>
      <c r="W33" s="731">
        <f t="shared" si="17"/>
        <v>1.3915</v>
      </c>
      <c r="X33" s="731">
        <f t="shared" si="17"/>
        <v>1.4181199999999998</v>
      </c>
      <c r="Y33" s="731">
        <f t="shared" si="17"/>
        <v>1.4447399999999999</v>
      </c>
      <c r="Z33" s="731">
        <f t="shared" si="17"/>
        <v>1.47136</v>
      </c>
      <c r="AA33" s="731">
        <f t="shared" si="17"/>
        <v>1.4979799999999999</v>
      </c>
      <c r="AB33" s="731">
        <f t="shared" si="17"/>
        <v>1.52702</v>
      </c>
      <c r="AC33" s="731">
        <f t="shared" si="17"/>
        <v>1.5572699999999999</v>
      </c>
      <c r="AD33" s="731">
        <f t="shared" si="17"/>
        <v>1.5863099999999999</v>
      </c>
      <c r="AE33" s="731">
        <f t="shared" si="17"/>
        <v>1.6153499999999998</v>
      </c>
      <c r="AF33" s="731">
        <f t="shared" si="17"/>
        <v>1.6516499999999998</v>
      </c>
      <c r="AG33" s="731">
        <f t="shared" si="17"/>
        <v>1.6867399999999999</v>
      </c>
      <c r="AH33" s="731">
        <f t="shared" si="17"/>
        <v>1.7230399999999999</v>
      </c>
      <c r="AI33" s="731">
        <f>AI27</f>
        <v>1.75813</v>
      </c>
    </row>
    <row r="34" spans="1:35" ht="13.5" customHeight="1" x14ac:dyDescent="0.2">
      <c r="A34" s="132" t="str">
        <f t="shared" si="16"/>
        <v>11.4. Mājsaimniecības izdevumi ūdensapgādes pakalpojumiem mēnesī (EUR)</v>
      </c>
      <c r="B34" s="979">
        <f>B32*B33</f>
        <v>5.9713500000000002</v>
      </c>
      <c r="C34" s="979">
        <f t="shared" ref="C34:AH34" si="18">C32*C33</f>
        <v>5.9713500000000002</v>
      </c>
      <c r="D34" s="979">
        <f t="shared" si="18"/>
        <v>5.2217549999999999</v>
      </c>
      <c r="E34" s="979">
        <f t="shared" si="18"/>
        <v>5.3170424999999994</v>
      </c>
      <c r="F34" s="979">
        <f t="shared" si="18"/>
        <v>5.412329999999999</v>
      </c>
      <c r="G34" s="979">
        <f t="shared" si="18"/>
        <v>5.5012650000000001</v>
      </c>
      <c r="H34" s="979">
        <f t="shared" si="18"/>
        <v>5.5965524999999996</v>
      </c>
      <c r="I34" s="979">
        <f t="shared" si="18"/>
        <v>5.6854875000000007</v>
      </c>
      <c r="J34" s="979">
        <f t="shared" si="18"/>
        <v>5.7807750000000002</v>
      </c>
      <c r="K34" s="979">
        <f t="shared" si="18"/>
        <v>5.8697099999999995</v>
      </c>
      <c r="L34" s="979">
        <f t="shared" si="18"/>
        <v>5.9777024999999995</v>
      </c>
      <c r="M34" s="979">
        <f t="shared" si="18"/>
        <v>6.0856949999999994</v>
      </c>
      <c r="N34" s="979">
        <f t="shared" si="18"/>
        <v>6.0729899999999999</v>
      </c>
      <c r="O34" s="979">
        <f t="shared" si="18"/>
        <v>6.1809824999999998</v>
      </c>
      <c r="P34" s="979">
        <f t="shared" si="18"/>
        <v>6.320737499999999</v>
      </c>
      <c r="Q34" s="979">
        <f t="shared" si="18"/>
        <v>6.4604925</v>
      </c>
      <c r="R34" s="979">
        <f t="shared" si="18"/>
        <v>6.6002474999999992</v>
      </c>
      <c r="S34" s="979">
        <f t="shared" si="18"/>
        <v>6.7400024999999992</v>
      </c>
      <c r="T34" s="979">
        <f t="shared" si="18"/>
        <v>6.8797575000000002</v>
      </c>
      <c r="U34" s="979">
        <f t="shared" si="18"/>
        <v>7.0195124999999994</v>
      </c>
      <c r="V34" s="979">
        <f t="shared" si="18"/>
        <v>7.1656199999999997</v>
      </c>
      <c r="W34" s="979">
        <f t="shared" si="18"/>
        <v>7.3053749999999997</v>
      </c>
      <c r="X34" s="979">
        <f t="shared" si="18"/>
        <v>7.4451299999999989</v>
      </c>
      <c r="Y34" s="979">
        <f t="shared" si="18"/>
        <v>7.5848849999999999</v>
      </c>
      <c r="Z34" s="979">
        <f t="shared" si="18"/>
        <v>7.72464</v>
      </c>
      <c r="AA34" s="979">
        <f t="shared" si="18"/>
        <v>7.8643949999999991</v>
      </c>
      <c r="AB34" s="979">
        <f t="shared" si="18"/>
        <v>8.0168549999999996</v>
      </c>
      <c r="AC34" s="979">
        <f t="shared" si="18"/>
        <v>8.1756674999999994</v>
      </c>
      <c r="AD34" s="979">
        <f t="shared" si="18"/>
        <v>8.328127499999999</v>
      </c>
      <c r="AE34" s="979">
        <f t="shared" si="18"/>
        <v>8.4805874999999986</v>
      </c>
      <c r="AF34" s="979">
        <f t="shared" si="18"/>
        <v>8.6711624999999994</v>
      </c>
      <c r="AG34" s="979">
        <f t="shared" si="18"/>
        <v>8.8553850000000001</v>
      </c>
      <c r="AH34" s="979">
        <f t="shared" si="18"/>
        <v>9.0459599999999991</v>
      </c>
      <c r="AI34" s="979">
        <f>AI32*AI33</f>
        <v>9.2301824999999997</v>
      </c>
    </row>
    <row r="35" spans="1:35" ht="14.25" customHeight="1" x14ac:dyDescent="0.2">
      <c r="A35" s="213" t="str">
        <f t="shared" si="16"/>
        <v>11.5. Notekūdeņu apjoms (m3/uz mājsaimniecību mēnesī)</v>
      </c>
      <c r="B35" s="978">
        <f t="shared" ref="B35:AH35" si="19">B11</f>
        <v>5.0999999999999996</v>
      </c>
      <c r="C35" s="979">
        <f t="shared" si="19"/>
        <v>5.0999999999999996</v>
      </c>
      <c r="D35" s="979">
        <f t="shared" si="19"/>
        <v>5.0999999999999996</v>
      </c>
      <c r="E35" s="979">
        <f t="shared" si="19"/>
        <v>5.0999999999999996</v>
      </c>
      <c r="F35" s="979">
        <f t="shared" si="19"/>
        <v>5.0999999999999996</v>
      </c>
      <c r="G35" s="979">
        <f t="shared" si="19"/>
        <v>5.0999999999999996</v>
      </c>
      <c r="H35" s="979">
        <f t="shared" si="19"/>
        <v>5.0999999999999996</v>
      </c>
      <c r="I35" s="979">
        <f t="shared" si="19"/>
        <v>5.0999999999999996</v>
      </c>
      <c r="J35" s="979">
        <f t="shared" si="19"/>
        <v>5.0999999999999996</v>
      </c>
      <c r="K35" s="979">
        <f t="shared" si="19"/>
        <v>5.0999999999999996</v>
      </c>
      <c r="L35" s="979">
        <f t="shared" si="19"/>
        <v>5.0999999999999996</v>
      </c>
      <c r="M35" s="979">
        <f t="shared" si="19"/>
        <v>5.0999999999999996</v>
      </c>
      <c r="N35" s="979">
        <f t="shared" si="19"/>
        <v>5.0999999999999996</v>
      </c>
      <c r="O35" s="979">
        <f t="shared" si="19"/>
        <v>5.0999999999999996</v>
      </c>
      <c r="P35" s="979">
        <f t="shared" si="19"/>
        <v>5.0999999999999996</v>
      </c>
      <c r="Q35" s="979">
        <f t="shared" si="19"/>
        <v>5.0999999999999996</v>
      </c>
      <c r="R35" s="979">
        <f t="shared" si="19"/>
        <v>5.0999999999999996</v>
      </c>
      <c r="S35" s="979">
        <f t="shared" si="19"/>
        <v>5.0999999999999996</v>
      </c>
      <c r="T35" s="979">
        <f t="shared" si="19"/>
        <v>5.0999999999999996</v>
      </c>
      <c r="U35" s="979">
        <f t="shared" si="19"/>
        <v>5.0999999999999996</v>
      </c>
      <c r="V35" s="979">
        <f t="shared" si="19"/>
        <v>5.0999999999999996</v>
      </c>
      <c r="W35" s="979">
        <f t="shared" si="19"/>
        <v>5.0999999999999996</v>
      </c>
      <c r="X35" s="979">
        <f t="shared" si="19"/>
        <v>5.0999999999999996</v>
      </c>
      <c r="Y35" s="979">
        <f t="shared" si="19"/>
        <v>5.0999999999999996</v>
      </c>
      <c r="Z35" s="979">
        <f t="shared" si="19"/>
        <v>5.0999999999999996</v>
      </c>
      <c r="AA35" s="979">
        <f t="shared" si="19"/>
        <v>5.0999999999999996</v>
      </c>
      <c r="AB35" s="979">
        <f t="shared" si="19"/>
        <v>5.0999999999999996</v>
      </c>
      <c r="AC35" s="979">
        <f t="shared" si="19"/>
        <v>5.0999999999999996</v>
      </c>
      <c r="AD35" s="979">
        <f t="shared" si="19"/>
        <v>5.0999999999999996</v>
      </c>
      <c r="AE35" s="979">
        <f t="shared" si="19"/>
        <v>5.0999999999999996</v>
      </c>
      <c r="AF35" s="979">
        <f t="shared" si="19"/>
        <v>5.0999999999999996</v>
      </c>
      <c r="AG35" s="979">
        <f t="shared" si="19"/>
        <v>5.0999999999999996</v>
      </c>
      <c r="AH35" s="979">
        <f t="shared" si="19"/>
        <v>5.0999999999999996</v>
      </c>
      <c r="AI35" s="979">
        <f>AI11</f>
        <v>5.0999999999999996</v>
      </c>
    </row>
    <row r="36" spans="1:35" ht="14.25" customHeight="1" x14ac:dyDescent="0.2">
      <c r="A36" s="213" t="str">
        <f t="shared" si="16"/>
        <v>11.6. Kanalizācijas tarifs (EUR/m3), iesk. PVN 21%</v>
      </c>
      <c r="B36" s="731">
        <f>B28</f>
        <v>1.3552000000000002</v>
      </c>
      <c r="C36" s="731">
        <f t="shared" ref="C36:AH36" si="20">C28</f>
        <v>1.1253</v>
      </c>
      <c r="D36" s="731">
        <f t="shared" si="20"/>
        <v>1.1374</v>
      </c>
      <c r="E36" s="731">
        <f t="shared" si="20"/>
        <v>1.1737</v>
      </c>
      <c r="F36" s="731">
        <f t="shared" si="20"/>
        <v>1.1858</v>
      </c>
      <c r="G36" s="731">
        <f t="shared" si="20"/>
        <v>1.21</v>
      </c>
      <c r="H36" s="731">
        <f t="shared" si="20"/>
        <v>1.2342</v>
      </c>
      <c r="I36" s="731">
        <f t="shared" si="20"/>
        <v>1.2463</v>
      </c>
      <c r="J36" s="731">
        <f t="shared" si="20"/>
        <v>1.2705</v>
      </c>
      <c r="K36" s="731">
        <f t="shared" si="20"/>
        <v>1.2947</v>
      </c>
      <c r="L36" s="731">
        <f t="shared" si="20"/>
        <v>1.3189</v>
      </c>
      <c r="M36" s="731">
        <f t="shared" si="20"/>
        <v>1.331</v>
      </c>
      <c r="N36" s="731">
        <f t="shared" si="20"/>
        <v>1.3431000000000002</v>
      </c>
      <c r="O36" s="731">
        <f t="shared" si="20"/>
        <v>1.3672999999999997</v>
      </c>
      <c r="P36" s="731">
        <f t="shared" si="20"/>
        <v>1.3915</v>
      </c>
      <c r="Q36" s="731">
        <f t="shared" si="20"/>
        <v>1.4278</v>
      </c>
      <c r="R36" s="731">
        <f t="shared" si="20"/>
        <v>1.452</v>
      </c>
      <c r="S36" s="731">
        <f t="shared" si="20"/>
        <v>1.4883</v>
      </c>
      <c r="T36" s="731">
        <f t="shared" si="20"/>
        <v>1.5125</v>
      </c>
      <c r="U36" s="731">
        <f t="shared" si="20"/>
        <v>1.5488</v>
      </c>
      <c r="V36" s="731">
        <f t="shared" si="20"/>
        <v>1.573</v>
      </c>
      <c r="W36" s="731">
        <f t="shared" si="20"/>
        <v>1.6093</v>
      </c>
      <c r="X36" s="731">
        <f t="shared" si="20"/>
        <v>1.6335</v>
      </c>
      <c r="Y36" s="731">
        <f t="shared" si="20"/>
        <v>1.6697999999999997</v>
      </c>
      <c r="Z36" s="731">
        <f t="shared" si="20"/>
        <v>1.694</v>
      </c>
      <c r="AA36" s="731">
        <f t="shared" si="20"/>
        <v>1.7302999999999999</v>
      </c>
      <c r="AB36" s="731">
        <f t="shared" si="20"/>
        <v>1.7665999999999999</v>
      </c>
      <c r="AC36" s="731">
        <f t="shared" si="20"/>
        <v>1.7907999999999999</v>
      </c>
      <c r="AD36" s="731">
        <f t="shared" si="20"/>
        <v>1.8270999999999999</v>
      </c>
      <c r="AE36" s="731">
        <f t="shared" si="20"/>
        <v>1.8633999999999999</v>
      </c>
      <c r="AF36" s="731">
        <f t="shared" si="20"/>
        <v>1.8996999999999999</v>
      </c>
      <c r="AG36" s="731">
        <f t="shared" si="20"/>
        <v>1.9359999999999999</v>
      </c>
      <c r="AH36" s="731">
        <f t="shared" si="20"/>
        <v>1.9843999999999997</v>
      </c>
      <c r="AI36" s="731">
        <f>AI28</f>
        <v>2.0206999999999997</v>
      </c>
    </row>
    <row r="37" spans="1:35" ht="14.25" customHeight="1" x14ac:dyDescent="0.2">
      <c r="A37" s="213" t="str">
        <f t="shared" si="16"/>
        <v>11.7. Mājsaimniecības izdevumi kanalizācijas pakalpojumiem mēnesī (EUR)</v>
      </c>
      <c r="B37" s="979">
        <f>B36*B35</f>
        <v>6.9115200000000003</v>
      </c>
      <c r="C37" s="979">
        <f t="shared" ref="C37:AH37" si="21">C36*C35</f>
        <v>5.7390299999999996</v>
      </c>
      <c r="D37" s="979">
        <f t="shared" si="21"/>
        <v>5.8007399999999993</v>
      </c>
      <c r="E37" s="979">
        <f t="shared" si="21"/>
        <v>5.9858699999999994</v>
      </c>
      <c r="F37" s="979">
        <f t="shared" si="21"/>
        <v>6.0475799999999991</v>
      </c>
      <c r="G37" s="979">
        <f t="shared" si="21"/>
        <v>6.1709999999999994</v>
      </c>
      <c r="H37" s="979">
        <f t="shared" si="21"/>
        <v>6.2944199999999997</v>
      </c>
      <c r="I37" s="979">
        <f t="shared" si="21"/>
        <v>6.3561299999999994</v>
      </c>
      <c r="J37" s="979">
        <f t="shared" si="21"/>
        <v>6.4795499999999997</v>
      </c>
      <c r="K37" s="979">
        <f t="shared" si="21"/>
        <v>6.6029699999999991</v>
      </c>
      <c r="L37" s="979">
        <f t="shared" si="21"/>
        <v>6.7263899999999994</v>
      </c>
      <c r="M37" s="979">
        <f t="shared" si="21"/>
        <v>6.7880999999999991</v>
      </c>
      <c r="N37" s="979">
        <f t="shared" si="21"/>
        <v>6.8498100000000006</v>
      </c>
      <c r="O37" s="979">
        <f t="shared" si="21"/>
        <v>6.9732299999999983</v>
      </c>
      <c r="P37" s="979">
        <f t="shared" si="21"/>
        <v>7.0966499999999995</v>
      </c>
      <c r="Q37" s="979">
        <f t="shared" si="21"/>
        <v>7.2817799999999995</v>
      </c>
      <c r="R37" s="979">
        <f t="shared" si="21"/>
        <v>7.4051999999999989</v>
      </c>
      <c r="S37" s="979">
        <f t="shared" si="21"/>
        <v>7.5903299999999989</v>
      </c>
      <c r="T37" s="979">
        <f t="shared" si="21"/>
        <v>7.7137499999999992</v>
      </c>
      <c r="U37" s="979">
        <f t="shared" si="21"/>
        <v>7.8988799999999992</v>
      </c>
      <c r="V37" s="979">
        <f t="shared" si="21"/>
        <v>8.0222999999999995</v>
      </c>
      <c r="W37" s="979">
        <f t="shared" si="21"/>
        <v>8.2074299999999987</v>
      </c>
      <c r="X37" s="979">
        <f t="shared" si="21"/>
        <v>8.3308499999999999</v>
      </c>
      <c r="Y37" s="979">
        <f t="shared" si="21"/>
        <v>8.5159799999999972</v>
      </c>
      <c r="Z37" s="979">
        <f t="shared" si="21"/>
        <v>8.6393999999999984</v>
      </c>
      <c r="AA37" s="979">
        <f t="shared" si="21"/>
        <v>8.8245299999999993</v>
      </c>
      <c r="AB37" s="979">
        <f t="shared" si="21"/>
        <v>9.0096599999999984</v>
      </c>
      <c r="AC37" s="979">
        <f t="shared" si="21"/>
        <v>9.1330799999999996</v>
      </c>
      <c r="AD37" s="979">
        <f t="shared" si="21"/>
        <v>9.3182099999999988</v>
      </c>
      <c r="AE37" s="979">
        <f t="shared" si="21"/>
        <v>9.5033399999999997</v>
      </c>
      <c r="AF37" s="979">
        <f t="shared" si="21"/>
        <v>9.6884699999999988</v>
      </c>
      <c r="AG37" s="979">
        <f t="shared" si="21"/>
        <v>9.8735999999999997</v>
      </c>
      <c r="AH37" s="979">
        <f t="shared" si="21"/>
        <v>10.120439999999999</v>
      </c>
      <c r="AI37" s="979">
        <f>AI36*AI35</f>
        <v>10.305569999999998</v>
      </c>
    </row>
    <row r="38" spans="1:35" ht="14.25" customHeight="1" x14ac:dyDescent="0.2">
      <c r="A38" s="213" t="str">
        <f t="shared" si="16"/>
        <v>11.8. Kopā izdevumi ūdenssaimniecības pakalpojumiem</v>
      </c>
      <c r="B38" s="737">
        <f t="shared" ref="B38:AG38" si="22">SUM(B34,B37)</f>
        <v>12.88287</v>
      </c>
      <c r="C38" s="737">
        <f t="shared" si="22"/>
        <v>11.710380000000001</v>
      </c>
      <c r="D38" s="737">
        <f t="shared" si="22"/>
        <v>11.022494999999999</v>
      </c>
      <c r="E38" s="737">
        <f t="shared" si="22"/>
        <v>11.302912499999998</v>
      </c>
      <c r="F38" s="737">
        <f t="shared" si="22"/>
        <v>11.459909999999997</v>
      </c>
      <c r="G38" s="737">
        <f t="shared" si="22"/>
        <v>11.672264999999999</v>
      </c>
      <c r="H38" s="737">
        <f t="shared" si="22"/>
        <v>11.8909725</v>
      </c>
      <c r="I38" s="737">
        <f t="shared" si="22"/>
        <v>12.041617500000001</v>
      </c>
      <c r="J38" s="737">
        <f t="shared" si="22"/>
        <v>12.260325</v>
      </c>
      <c r="K38" s="737">
        <f t="shared" si="22"/>
        <v>12.472679999999999</v>
      </c>
      <c r="L38" s="737">
        <f t="shared" si="22"/>
        <v>12.704092499999998</v>
      </c>
      <c r="M38" s="737">
        <f t="shared" si="22"/>
        <v>12.873794999999998</v>
      </c>
      <c r="N38" s="737">
        <f t="shared" si="22"/>
        <v>12.922800000000001</v>
      </c>
      <c r="O38" s="737">
        <f t="shared" si="22"/>
        <v>13.154212499999998</v>
      </c>
      <c r="P38" s="737">
        <f t="shared" si="22"/>
        <v>13.417387499999998</v>
      </c>
      <c r="Q38" s="737">
        <f t="shared" si="22"/>
        <v>13.742272499999999</v>
      </c>
      <c r="R38" s="737">
        <f t="shared" si="22"/>
        <v>14.005447499999999</v>
      </c>
      <c r="S38" s="737">
        <f t="shared" si="22"/>
        <v>14.330332499999997</v>
      </c>
      <c r="T38" s="737">
        <f t="shared" si="22"/>
        <v>14.593507499999999</v>
      </c>
      <c r="U38" s="737">
        <f t="shared" si="22"/>
        <v>14.9183925</v>
      </c>
      <c r="V38" s="737">
        <f t="shared" si="22"/>
        <v>15.187919999999998</v>
      </c>
      <c r="W38" s="737">
        <f t="shared" si="22"/>
        <v>15.512804999999998</v>
      </c>
      <c r="X38" s="737">
        <f t="shared" si="22"/>
        <v>15.775979999999999</v>
      </c>
      <c r="Y38" s="737">
        <f t="shared" si="22"/>
        <v>16.100864999999999</v>
      </c>
      <c r="Z38" s="737">
        <f t="shared" si="22"/>
        <v>16.364039999999999</v>
      </c>
      <c r="AA38" s="737">
        <f t="shared" si="22"/>
        <v>16.688924999999998</v>
      </c>
      <c r="AB38" s="737">
        <f t="shared" si="22"/>
        <v>17.026514999999996</v>
      </c>
      <c r="AC38" s="737">
        <f t="shared" si="22"/>
        <v>17.308747499999999</v>
      </c>
      <c r="AD38" s="737">
        <f t="shared" si="22"/>
        <v>17.646337499999998</v>
      </c>
      <c r="AE38" s="737">
        <f t="shared" si="22"/>
        <v>17.9839275</v>
      </c>
      <c r="AF38" s="737">
        <f t="shared" si="22"/>
        <v>18.359632499999996</v>
      </c>
      <c r="AG38" s="737">
        <f t="shared" si="22"/>
        <v>18.728985000000002</v>
      </c>
      <c r="AH38" s="737">
        <f>SUM(AH34,AH37)</f>
        <v>19.166399999999996</v>
      </c>
      <c r="AI38" s="737">
        <f>SUM(AI34,AI37)</f>
        <v>19.535752499999997</v>
      </c>
    </row>
    <row r="39" spans="1:35" ht="14.25" customHeight="1" x14ac:dyDescent="0.2">
      <c r="A39" s="213" t="str">
        <f t="shared" si="16"/>
        <v>11.9. Izdevumi % no mājsaimn.vidējiem mēn. ienākumiem</v>
      </c>
      <c r="B39" s="980">
        <f>IF(B31=0,0,B38/B31)</f>
        <v>2.8628600000000001E-2</v>
      </c>
      <c r="C39" s="980">
        <f>IF(C31=0,0,C38/C31)</f>
        <v>2.5265113268608416E-2</v>
      </c>
      <c r="D39" s="980">
        <f t="shared" ref="D39:AG39" si="23">IF(D31=0,0,D38/D31)</f>
        <v>2.3107955974842765E-2</v>
      </c>
      <c r="E39" s="980">
        <f t="shared" si="23"/>
        <v>2.3043654434250757E-2</v>
      </c>
      <c r="F39" s="980">
        <f t="shared" si="23"/>
        <v>2.2942762762762754E-2</v>
      </c>
      <c r="G39" s="980">
        <f t="shared" si="23"/>
        <v>2.2954306784660768E-2</v>
      </c>
      <c r="H39" s="980">
        <f t="shared" si="23"/>
        <v>2.2977724637681159E-2</v>
      </c>
      <c r="I39" s="980">
        <f t="shared" si="23"/>
        <v>2.2871068376068379E-2</v>
      </c>
      <c r="J39" s="980">
        <f t="shared" si="23"/>
        <v>2.2895098039215685E-2</v>
      </c>
      <c r="K39" s="980">
        <f t="shared" si="23"/>
        <v>2.2906666666666665E-2</v>
      </c>
      <c r="L39" s="980">
        <f t="shared" si="23"/>
        <v>2.2767190860215052E-2</v>
      </c>
      <c r="M39" s="980">
        <f t="shared" si="23"/>
        <v>2.252632545931758E-2</v>
      </c>
      <c r="N39" s="980">
        <f t="shared" si="23"/>
        <v>2.2090256410256411E-2</v>
      </c>
      <c r="O39" s="980">
        <f t="shared" si="23"/>
        <v>2.1978634085213028E-2</v>
      </c>
      <c r="P39" s="980">
        <f t="shared" si="23"/>
        <v>2.1923835784313724E-2</v>
      </c>
      <c r="Q39" s="980">
        <f t="shared" si="23"/>
        <v>2.1970059952038368E-2</v>
      </c>
      <c r="R39" s="980">
        <f t="shared" si="23"/>
        <v>2.1917758215962441E-2</v>
      </c>
      <c r="S39" s="980">
        <f t="shared" si="23"/>
        <v>2.1962195402298847E-2</v>
      </c>
      <c r="T39" s="980">
        <f t="shared" si="23"/>
        <v>2.1912173423423421E-2</v>
      </c>
      <c r="U39" s="980">
        <f t="shared" si="23"/>
        <v>2.1954955849889626E-2</v>
      </c>
      <c r="V39" s="980">
        <f t="shared" si="23"/>
        <v>2.1916190476190475E-2</v>
      </c>
      <c r="W39" s="980">
        <f t="shared" si="23"/>
        <v>2.1957261146496813E-2</v>
      </c>
      <c r="X39" s="980">
        <f t="shared" si="23"/>
        <v>2.1911083333333331E-2</v>
      </c>
      <c r="Y39" s="980">
        <f t="shared" si="23"/>
        <v>2.1950736196319019E-2</v>
      </c>
      <c r="Z39" s="980">
        <f t="shared" si="23"/>
        <v>2.1906345381526103E-2</v>
      </c>
      <c r="AA39" s="980">
        <f t="shared" si="23"/>
        <v>2.1944674556213014E-2</v>
      </c>
      <c r="AB39" s="980">
        <f t="shared" si="23"/>
        <v>2.1870924855491324E-2</v>
      </c>
      <c r="AC39" s="980">
        <f t="shared" si="23"/>
        <v>2.1731007532956686E-2</v>
      </c>
      <c r="AD39" s="980">
        <f t="shared" si="23"/>
        <v>2.1665239410681398E-2</v>
      </c>
      <c r="AE39" s="980">
        <f t="shared" si="23"/>
        <v>2.1602315315315316E-2</v>
      </c>
      <c r="AF39" s="980">
        <f t="shared" si="23"/>
        <v>2.2053612612612607E-2</v>
      </c>
      <c r="AG39" s="980">
        <f t="shared" si="23"/>
        <v>2.2497279279279282E-2</v>
      </c>
      <c r="AH39" s="980">
        <f>IF(AH31=0,0,AH38/AH31)</f>
        <v>2.3022702702702697E-2</v>
      </c>
      <c r="AI39" s="980">
        <f>IF(AI31=0,0,AI38/AI31)</f>
        <v>2.3466369369369366E-2</v>
      </c>
    </row>
    <row r="40" spans="1:35" s="112" customFormat="1" ht="12.75" x14ac:dyDescent="0.2"/>
  </sheetData>
  <sheetProtection algorithmName="SHA-512" hashValue="LBXVdZRNJjjRpxQgIScPaBrYI7rI65c+1QxIi5s0f/EEUunWvey5Nx6T+ixk+OgENIh+bhI702JO8Jhsc9LwGw==" saltValue="z2/x7FTfiDsdkrSNitmAhA==" spinCount="100000" sheet="1" objects="1" scenarios="1"/>
  <phoneticPr fontId="2" type="noConversion"/>
  <dataValidations count="1">
    <dataValidation type="decimal" operator="greaterThan" allowBlank="1" showErrorMessage="1" error="Jāievada pozitīvs skaitlis" sqref="B29">
      <formula1>0</formula1>
      <formula2>0</formula2>
    </dataValidation>
  </dataValidations>
  <printOptions horizontalCentered="1"/>
  <pageMargins left="0.59027777777777779" right="0.59027777777777779" top="0.75" bottom="0.88888888888888884" header="0.51180555555555551" footer="0.75"/>
  <pageSetup paperSize="9" scale="61" firstPageNumber="0" orientation="landscape" horizontalDpi="300" verticalDpi="300" r:id="rId1"/>
  <headerFooter alignWithMargins="0">
    <oddFooter>&amp;L&amp;A&amp;R&amp;P</oddFooter>
  </headerFooter>
  <colBreaks count="1" manualBreakCount="1">
    <brk id="1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K38"/>
  <sheetViews>
    <sheetView workbookViewId="0">
      <selection activeCell="N36" sqref="N36"/>
    </sheetView>
  </sheetViews>
  <sheetFormatPr defaultColWidth="9.140625" defaultRowHeight="12.75" x14ac:dyDescent="0.2"/>
  <cols>
    <col min="1" max="1" width="4.5703125" style="866" customWidth="1"/>
    <col min="2" max="2" width="6.85546875" style="866" customWidth="1"/>
    <col min="3" max="3" width="36.42578125" style="866" customWidth="1"/>
    <col min="4" max="4" width="18.42578125" style="866" customWidth="1"/>
    <col min="5" max="5" width="8.7109375" style="866" customWidth="1"/>
    <col min="6" max="6" width="9.28515625" style="866" bestFit="1" customWidth="1"/>
    <col min="7" max="7" width="13.85546875" style="866" customWidth="1"/>
    <col min="8" max="8" width="13.140625" style="866" customWidth="1"/>
    <col min="9" max="9" width="11.85546875" style="866" customWidth="1"/>
    <col min="10" max="11" width="11.140625" style="866" customWidth="1"/>
    <col min="12" max="12" width="10.5703125" style="866" customWidth="1"/>
    <col min="13" max="13" width="11.42578125" style="866" customWidth="1"/>
    <col min="14" max="14" width="10.7109375" style="866" customWidth="1"/>
    <col min="15" max="15" width="12" style="866" customWidth="1"/>
    <col min="16" max="16" width="11.140625" style="866" customWidth="1"/>
    <col min="17" max="17" width="10.85546875" style="866" customWidth="1"/>
    <col min="18" max="18" width="11" style="866" customWidth="1"/>
    <col min="19" max="19" width="11.85546875" style="866" customWidth="1"/>
    <col min="20" max="20" width="11.42578125" style="866" customWidth="1"/>
    <col min="21" max="21" width="12" style="866" customWidth="1"/>
    <col min="22" max="22" width="11.28515625" style="866" customWidth="1"/>
    <col min="23" max="23" width="13" style="866" customWidth="1"/>
    <col min="24" max="24" width="11.7109375" style="866" customWidth="1"/>
    <col min="25" max="25" width="11.28515625" style="866" customWidth="1"/>
    <col min="26" max="26" width="11.7109375" style="866" customWidth="1"/>
    <col min="27" max="27" width="11.42578125" style="866" customWidth="1"/>
    <col min="28" max="28" width="10.85546875" style="866" customWidth="1"/>
    <col min="29" max="29" width="11.28515625" style="866" customWidth="1"/>
    <col min="30" max="36" width="11.140625" style="866" customWidth="1"/>
    <col min="37" max="37" width="13.140625" style="866" customWidth="1"/>
    <col min="38" max="38" width="10.7109375" style="866" bestFit="1" customWidth="1"/>
    <col min="39" max="16384" width="9.140625" style="866"/>
  </cols>
  <sheetData>
    <row r="1" spans="1:38" s="799" customFormat="1" ht="21" x14ac:dyDescent="0.2">
      <c r="A1" s="800" t="s">
        <v>627</v>
      </c>
      <c r="B1" s="801"/>
      <c r="C1" s="801"/>
    </row>
    <row r="2" spans="1:38" s="605" customFormat="1" x14ac:dyDescent="0.2"/>
    <row r="3" spans="1:38" s="892" customFormat="1" x14ac:dyDescent="0.2">
      <c r="A3" s="890"/>
      <c r="B3" s="891"/>
      <c r="C3" s="1053"/>
      <c r="D3" s="1053"/>
      <c r="E3" s="1053"/>
      <c r="F3" s="889" t="s">
        <v>560</v>
      </c>
      <c r="G3" s="875">
        <v>2018</v>
      </c>
      <c r="H3" s="875">
        <f>G3+1</f>
        <v>2019</v>
      </c>
      <c r="I3" s="875">
        <f>H3+1</f>
        <v>2020</v>
      </c>
      <c r="J3" s="875">
        <f t="shared" ref="J3:AE3" si="0">I3+1</f>
        <v>2021</v>
      </c>
      <c r="K3" s="875">
        <f t="shared" si="0"/>
        <v>2022</v>
      </c>
      <c r="L3" s="875">
        <f t="shared" si="0"/>
        <v>2023</v>
      </c>
      <c r="M3" s="875">
        <f t="shared" si="0"/>
        <v>2024</v>
      </c>
      <c r="N3" s="875">
        <f t="shared" si="0"/>
        <v>2025</v>
      </c>
      <c r="O3" s="875">
        <f t="shared" si="0"/>
        <v>2026</v>
      </c>
      <c r="P3" s="875">
        <f t="shared" si="0"/>
        <v>2027</v>
      </c>
      <c r="Q3" s="875">
        <f t="shared" si="0"/>
        <v>2028</v>
      </c>
      <c r="R3" s="875">
        <f t="shared" si="0"/>
        <v>2029</v>
      </c>
      <c r="S3" s="875">
        <f t="shared" si="0"/>
        <v>2030</v>
      </c>
      <c r="T3" s="875">
        <f t="shared" si="0"/>
        <v>2031</v>
      </c>
      <c r="U3" s="875">
        <f t="shared" si="0"/>
        <v>2032</v>
      </c>
      <c r="V3" s="875">
        <f t="shared" si="0"/>
        <v>2033</v>
      </c>
      <c r="W3" s="875">
        <f t="shared" si="0"/>
        <v>2034</v>
      </c>
      <c r="X3" s="875">
        <f t="shared" si="0"/>
        <v>2035</v>
      </c>
      <c r="Y3" s="875">
        <f t="shared" si="0"/>
        <v>2036</v>
      </c>
      <c r="Z3" s="875">
        <f t="shared" si="0"/>
        <v>2037</v>
      </c>
      <c r="AA3" s="875">
        <f t="shared" si="0"/>
        <v>2038</v>
      </c>
      <c r="AB3" s="875">
        <f t="shared" si="0"/>
        <v>2039</v>
      </c>
      <c r="AC3" s="875">
        <f t="shared" si="0"/>
        <v>2040</v>
      </c>
      <c r="AD3" s="875">
        <f t="shared" si="0"/>
        <v>2041</v>
      </c>
      <c r="AE3" s="875">
        <f t="shared" si="0"/>
        <v>2042</v>
      </c>
      <c r="AF3" s="875">
        <f t="shared" ref="AF3" si="1">AE3+1</f>
        <v>2043</v>
      </c>
      <c r="AG3" s="875">
        <f t="shared" ref="AG3" si="2">AF3+1</f>
        <v>2044</v>
      </c>
      <c r="AH3" s="875">
        <f t="shared" ref="AH3" si="3">AG3+1</f>
        <v>2045</v>
      </c>
      <c r="AI3" s="875">
        <f t="shared" ref="AI3" si="4">AH3+1</f>
        <v>2046</v>
      </c>
      <c r="AJ3" s="875">
        <f t="shared" ref="AJ3" si="5">AI3+1</f>
        <v>2047</v>
      </c>
      <c r="AK3" s="875" t="s">
        <v>44</v>
      </c>
    </row>
    <row r="4" spans="1:38" s="802" customFormat="1" x14ac:dyDescent="0.2">
      <c r="A4" s="804"/>
      <c r="B4" s="804"/>
      <c r="C4" s="804"/>
      <c r="D4" s="804"/>
      <c r="E4" s="804"/>
      <c r="F4" s="805"/>
      <c r="G4" s="806"/>
      <c r="H4" s="806"/>
      <c r="I4" s="806"/>
      <c r="J4" s="806"/>
      <c r="K4" s="806"/>
      <c r="L4" s="806"/>
      <c r="M4" s="806"/>
      <c r="N4" s="806"/>
      <c r="O4" s="806"/>
      <c r="P4" s="806"/>
      <c r="Q4" s="806"/>
      <c r="R4" s="806"/>
      <c r="S4" s="806"/>
      <c r="T4" s="806"/>
      <c r="U4" s="806"/>
      <c r="V4" s="807"/>
      <c r="W4" s="808"/>
      <c r="X4" s="809"/>
    </row>
    <row r="5" spans="1:38" s="810" customFormat="1" x14ac:dyDescent="0.2">
      <c r="A5" s="893"/>
      <c r="B5" s="860" t="s">
        <v>628</v>
      </c>
      <c r="C5" s="860"/>
      <c r="D5" s="860"/>
      <c r="E5" s="860"/>
      <c r="F5" s="860"/>
      <c r="G5" s="861"/>
      <c r="H5" s="861"/>
      <c r="I5" s="861"/>
      <c r="J5" s="861"/>
      <c r="K5" s="861"/>
      <c r="L5" s="861"/>
      <c r="M5" s="861"/>
      <c r="N5" s="861"/>
      <c r="O5" s="861"/>
      <c r="P5" s="861"/>
      <c r="Q5" s="861"/>
      <c r="R5" s="861"/>
      <c r="S5" s="861"/>
      <c r="T5" s="861"/>
      <c r="U5" s="861"/>
      <c r="V5" s="861"/>
      <c r="W5" s="861"/>
      <c r="X5" s="861"/>
      <c r="Y5" s="861"/>
      <c r="Z5" s="861"/>
      <c r="AA5" s="861"/>
      <c r="AB5" s="861"/>
      <c r="AC5" s="861"/>
      <c r="AD5" s="861"/>
      <c r="AE5" s="861"/>
      <c r="AF5" s="861"/>
      <c r="AG5" s="861"/>
      <c r="AH5" s="861"/>
      <c r="AI5" s="861"/>
      <c r="AJ5" s="861"/>
      <c r="AK5" s="894"/>
    </row>
    <row r="6" spans="1:38" s="810" customFormat="1" x14ac:dyDescent="0.2">
      <c r="A6" s="811" t="s">
        <v>629</v>
      </c>
      <c r="B6" s="812"/>
      <c r="C6" s="812" t="s">
        <v>630</v>
      </c>
      <c r="D6" s="812"/>
      <c r="E6" s="812"/>
      <c r="F6" s="813"/>
      <c r="G6" s="814">
        <f t="shared" ref="G6:AE6" si="6">SUM(G7:G8)</f>
        <v>0</v>
      </c>
      <c r="H6" s="815">
        <f t="shared" si="6"/>
        <v>27518.853999999908</v>
      </c>
      <c r="I6" s="815">
        <f t="shared" si="6"/>
        <v>35882.729999999967</v>
      </c>
      <c r="J6" s="815">
        <f t="shared" si="6"/>
        <v>30934.151999999951</v>
      </c>
      <c r="K6" s="815">
        <f t="shared" si="6"/>
        <v>32326.631999999987</v>
      </c>
      <c r="L6" s="815">
        <f t="shared" si="6"/>
        <v>33794.01</v>
      </c>
      <c r="M6" s="815">
        <f t="shared" si="6"/>
        <v>31978.512000000053</v>
      </c>
      <c r="N6" s="815">
        <f t="shared" si="6"/>
        <v>30237.911999999997</v>
      </c>
      <c r="O6" s="815">
        <f t="shared" si="6"/>
        <v>34838.369999999974</v>
      </c>
      <c r="P6" s="815">
        <f t="shared" si="6"/>
        <v>33794.010000000024</v>
      </c>
      <c r="Q6" s="815">
        <f t="shared" si="6"/>
        <v>33022.872000000025</v>
      </c>
      <c r="R6" s="815">
        <f t="shared" si="6"/>
        <v>22156.254000000044</v>
      </c>
      <c r="S6" s="815">
        <f t="shared" si="6"/>
        <v>21111.893999999935</v>
      </c>
      <c r="T6" s="815">
        <f t="shared" si="6"/>
        <v>18600.155999999981</v>
      </c>
      <c r="U6" s="815">
        <f t="shared" si="6"/>
        <v>22504.37399999996</v>
      </c>
      <c r="V6" s="815">
        <f t="shared" si="6"/>
        <v>16511.436000000009</v>
      </c>
      <c r="W6" s="815">
        <f t="shared" si="6"/>
        <v>20415.653999999988</v>
      </c>
      <c r="X6" s="815">
        <f t="shared" si="6"/>
        <v>17903.915999999997</v>
      </c>
      <c r="Y6" s="815">
        <f t="shared" si="6"/>
        <v>21808.133999999984</v>
      </c>
      <c r="Z6" s="815">
        <f t="shared" si="6"/>
        <v>19644.515999999996</v>
      </c>
      <c r="AA6" s="815">
        <f t="shared" si="6"/>
        <v>23548.733999999968</v>
      </c>
      <c r="AB6" s="815">
        <f t="shared" si="6"/>
        <v>21036.996000000014</v>
      </c>
      <c r="AC6" s="815">
        <f t="shared" si="6"/>
        <v>21460.013999999974</v>
      </c>
      <c r="AD6" s="815">
        <f t="shared" si="6"/>
        <v>22156.253999999986</v>
      </c>
      <c r="AE6" s="815">
        <f t="shared" si="6"/>
        <v>22852.493999999992</v>
      </c>
      <c r="AF6" s="815">
        <f t="shared" ref="AF6:AJ6" si="7">SUM(AF7:AF8)</f>
        <v>24244.973999999987</v>
      </c>
      <c r="AG6" s="815">
        <f t="shared" si="7"/>
        <v>22504.373999999982</v>
      </c>
      <c r="AH6" s="815">
        <f t="shared" si="7"/>
        <v>23896.853999999992</v>
      </c>
      <c r="AI6" s="815">
        <f t="shared" si="7"/>
        <v>25289.334000000032</v>
      </c>
      <c r="AJ6" s="815">
        <f t="shared" si="7"/>
        <v>25289.333999999981</v>
      </c>
      <c r="AK6" s="816">
        <f t="shared" ref="AK6:AK18" si="8">SUM(G6:AJ6)</f>
        <v>737263.74999999953</v>
      </c>
    </row>
    <row r="7" spans="1:38" s="826" customFormat="1" ht="15" customHeight="1" x14ac:dyDescent="0.2">
      <c r="A7" s="817"/>
      <c r="B7" s="818" t="s">
        <v>649</v>
      </c>
      <c r="C7" s="819" t="s">
        <v>647</v>
      </c>
      <c r="D7" s="819"/>
      <c r="E7" s="820">
        <v>0</v>
      </c>
      <c r="F7" s="821" t="s">
        <v>631</v>
      </c>
      <c r="G7" s="822">
        <f>'Saimnieciskas pamatdarbibas NP'!C154*(1+$E7)</f>
        <v>0</v>
      </c>
      <c r="H7" s="823">
        <f>'Saimnieciskas pamatdarbibas NP'!D154*(1+$E7)</f>
        <v>17969.379999999972</v>
      </c>
      <c r="I7" s="823">
        <f>'Saimnieciskas pamatdarbibas NP'!E154*(1+$E7)</f>
        <v>19842.839999999993</v>
      </c>
      <c r="J7" s="823">
        <f>'Saimnieciskas pamatdarbibas NP'!F154*(1+$E7)</f>
        <v>18102.239999999954</v>
      </c>
      <c r="K7" s="823">
        <f>'Saimnieciskas pamatdarbibas NP'!G154*(1+$E7)</f>
        <v>19494.71999999999</v>
      </c>
      <c r="L7" s="823">
        <f>'Saimnieciskas pamatdarbibas NP'!H154*(1+$E7)</f>
        <v>17754.119999999974</v>
      </c>
      <c r="M7" s="823">
        <f>'Saimnieciskas pamatdarbibas NP'!I154*(1+$E7)</f>
        <v>19146.600000000035</v>
      </c>
      <c r="N7" s="823">
        <f>'Saimnieciskas pamatdarbibas NP'!J154*(1+$E7)</f>
        <v>17406</v>
      </c>
      <c r="O7" s="823">
        <f>'Saimnieciskas pamatdarbibas NP'!K154*(1+$E7)</f>
        <v>18798.479999999974</v>
      </c>
      <c r="P7" s="823">
        <f>'Saimnieciskas pamatdarbibas NP'!L154*(1+$E7)</f>
        <v>17754.119999999988</v>
      </c>
      <c r="Q7" s="823">
        <f>'Saimnieciskas pamatdarbibas NP'!M154*(1+$E7)</f>
        <v>20190.959999999992</v>
      </c>
      <c r="R7" s="823">
        <f>'Saimnieciskas pamatdarbibas NP'!N154*(1+$E7)</f>
        <v>12532.320000000029</v>
      </c>
      <c r="S7" s="823">
        <f>'Saimnieciskas pamatdarbibas NP'!O154*(1+$E7)</f>
        <v>11487.96</v>
      </c>
      <c r="T7" s="823">
        <f>'Saimnieciskas pamatdarbibas NP'!P154*(1+$E7)</f>
        <v>12184.199999999968</v>
      </c>
      <c r="U7" s="823">
        <f>'Saimnieciskas pamatdarbibas NP'!Q154*(1+$E7)</f>
        <v>12880.439999999966</v>
      </c>
      <c r="V7" s="823">
        <f>'Saimnieciskas pamatdarbibas NP'!R154*(1+$E7)</f>
        <v>10095.479999999996</v>
      </c>
      <c r="W7" s="823">
        <f>'Saimnieciskas pamatdarbibas NP'!S154*(1+$E7)</f>
        <v>10791.719999999994</v>
      </c>
      <c r="X7" s="823">
        <f>'Saimnieciskas pamatdarbibas NP'!T154*(1+$E7)</f>
        <v>11487.959999999992</v>
      </c>
      <c r="Y7" s="823">
        <f>'Saimnieciskas pamatdarbibas NP'!U154*(1+$E7)</f>
        <v>12184.19999999999</v>
      </c>
      <c r="Z7" s="823">
        <f>'Saimnieciskas pamatdarbibas NP'!V154*(1+$E7)</f>
        <v>13228.559999999983</v>
      </c>
      <c r="AA7" s="823">
        <f>'Saimnieciskas pamatdarbibas NP'!W154*(1+$E7)</f>
        <v>13924.799999999981</v>
      </c>
      <c r="AB7" s="823">
        <f>'Saimnieciskas pamatdarbibas NP'!X154*(1+$E7)</f>
        <v>14621.04</v>
      </c>
      <c r="AC7" s="823">
        <f>'Saimnieciskas pamatdarbibas NP'!Y154*(1+$E7)</f>
        <v>11836.079999999994</v>
      </c>
      <c r="AD7" s="823">
        <f>'Saimnieciskas pamatdarbibas NP'!Z154*(1+$E7)</f>
        <v>12532.320000000007</v>
      </c>
      <c r="AE7" s="823">
        <f>'Saimnieciskas pamatdarbibas NP'!AA154*(1+$E7)</f>
        <v>13228.559999999998</v>
      </c>
      <c r="AF7" s="823">
        <f>'Saimnieciskas pamatdarbibas NP'!AB154*(1+$E7)</f>
        <v>14621.04</v>
      </c>
      <c r="AG7" s="823">
        <f>'Saimnieciskas pamatdarbibas NP'!AC154*(1+$E7)</f>
        <v>12880.439999999995</v>
      </c>
      <c r="AH7" s="823">
        <f>'Saimnieciskas pamatdarbibas NP'!AD154*(1+$E7)</f>
        <v>14272.920000000006</v>
      </c>
      <c r="AI7" s="823">
        <f>'Saimnieciskas pamatdarbibas NP'!AE154*(1+$E7)</f>
        <v>15665.39999999998</v>
      </c>
      <c r="AJ7" s="823">
        <f>'Saimnieciskas pamatdarbibas NP'!AF154*(1+$E7)</f>
        <v>15665.399999999994</v>
      </c>
      <c r="AK7" s="824">
        <f t="shared" si="8"/>
        <v>432580.29999999981</v>
      </c>
      <c r="AL7" s="825"/>
    </row>
    <row r="8" spans="1:38" s="826" customFormat="1" x14ac:dyDescent="0.2">
      <c r="A8" s="817"/>
      <c r="B8" s="818" t="s">
        <v>650</v>
      </c>
      <c r="C8" s="819" t="s">
        <v>648</v>
      </c>
      <c r="D8" s="819"/>
      <c r="E8" s="820">
        <v>0</v>
      </c>
      <c r="F8" s="821" t="s">
        <v>631</v>
      </c>
      <c r="G8" s="822">
        <f>'Saimnieciskas pamatdarbibas NP'!C158*(1+$E8)</f>
        <v>0</v>
      </c>
      <c r="H8" s="823">
        <f>'Saimnieciskas pamatdarbibas NP'!D158*(1+$E8)</f>
        <v>9549.4739999999365</v>
      </c>
      <c r="I8" s="823">
        <f>'Saimnieciskas pamatdarbibas NP'!E158*(1+$E8)</f>
        <v>16039.88999999997</v>
      </c>
      <c r="J8" s="823">
        <f>'Saimnieciskas pamatdarbibas NP'!F158*(1+$E8)</f>
        <v>12831.911999999997</v>
      </c>
      <c r="K8" s="823">
        <f>'Saimnieciskas pamatdarbibas NP'!G158*(1+$E8)</f>
        <v>12831.911999999997</v>
      </c>
      <c r="L8" s="823">
        <f>'Saimnieciskas pamatdarbibas NP'!H158*(1+$E8)</f>
        <v>16039.890000000029</v>
      </c>
      <c r="M8" s="823">
        <f>'Saimnieciskas pamatdarbibas NP'!I158*(1+$E8)</f>
        <v>12831.912000000018</v>
      </c>
      <c r="N8" s="823">
        <f>'Saimnieciskas pamatdarbibas NP'!J158*(1+$E8)</f>
        <v>12831.911999999997</v>
      </c>
      <c r="O8" s="823">
        <f>'Saimnieciskas pamatdarbibas NP'!K158*(1+$E8)</f>
        <v>16039.89</v>
      </c>
      <c r="P8" s="823">
        <f>'Saimnieciskas pamatdarbibas NP'!L158*(1+$E8)</f>
        <v>16039.890000000036</v>
      </c>
      <c r="Q8" s="823">
        <f>'Saimnieciskas pamatdarbibas NP'!M158*(1+$E8)</f>
        <v>12831.912000000033</v>
      </c>
      <c r="R8" s="823">
        <f>'Saimnieciskas pamatdarbibas NP'!N158*(1+$E8)</f>
        <v>9623.9340000000157</v>
      </c>
      <c r="S8" s="823">
        <f>'Saimnieciskas pamatdarbibas NP'!O158*(1+$E8)</f>
        <v>9623.9339999999356</v>
      </c>
      <c r="T8" s="823">
        <f>'Saimnieciskas pamatdarbibas NP'!P158*(1+$E8)</f>
        <v>6415.9560000000129</v>
      </c>
      <c r="U8" s="823">
        <f>'Saimnieciskas pamatdarbibas NP'!Q158*(1+$E8)</f>
        <v>9623.9339999999938</v>
      </c>
      <c r="V8" s="823">
        <f>'Saimnieciskas pamatdarbibas NP'!R158*(1+$E8)</f>
        <v>6415.9560000000129</v>
      </c>
      <c r="W8" s="823">
        <f>'Saimnieciskas pamatdarbibas NP'!S158*(1+$E8)</f>
        <v>9623.9339999999938</v>
      </c>
      <c r="X8" s="823">
        <f>'Saimnieciskas pamatdarbibas NP'!T158*(1+$E8)</f>
        <v>6415.9560000000056</v>
      </c>
      <c r="Y8" s="823">
        <f>'Saimnieciskas pamatdarbibas NP'!U158*(1+$E8)</f>
        <v>9623.9339999999938</v>
      </c>
      <c r="Z8" s="823">
        <f>'Saimnieciskas pamatdarbibas NP'!V158*(1+$E8)</f>
        <v>6415.9560000000129</v>
      </c>
      <c r="AA8" s="823">
        <f>'Saimnieciskas pamatdarbibas NP'!W158*(1+$E8)</f>
        <v>9623.9339999999866</v>
      </c>
      <c r="AB8" s="823">
        <f>'Saimnieciskas pamatdarbibas NP'!X158*(1+$E8)</f>
        <v>6415.9560000000129</v>
      </c>
      <c r="AC8" s="823">
        <f>'Saimnieciskas pamatdarbibas NP'!Y158*(1+$E8)</f>
        <v>9623.9339999999793</v>
      </c>
      <c r="AD8" s="823">
        <f>'Saimnieciskas pamatdarbibas NP'!Z158*(1+$E8)</f>
        <v>9623.9339999999793</v>
      </c>
      <c r="AE8" s="823">
        <f>'Saimnieciskas pamatdarbibas NP'!AA158*(1+$E8)</f>
        <v>9623.9339999999938</v>
      </c>
      <c r="AF8" s="823">
        <f>'Saimnieciskas pamatdarbibas NP'!AB158*(1+$E8)</f>
        <v>9623.9339999999866</v>
      </c>
      <c r="AG8" s="823">
        <f>'Saimnieciskas pamatdarbibas NP'!AC158*(1+$E8)</f>
        <v>9623.9339999999866</v>
      </c>
      <c r="AH8" s="823">
        <f>'Saimnieciskas pamatdarbibas NP'!AD158*(1+$E8)</f>
        <v>9623.9339999999866</v>
      </c>
      <c r="AI8" s="823">
        <f>'Saimnieciskas pamatdarbibas NP'!AE158*(1+$E8)</f>
        <v>9623.934000000052</v>
      </c>
      <c r="AJ8" s="823">
        <f>'Saimnieciskas pamatdarbibas NP'!AF158*(1+$E8)</f>
        <v>9623.9339999999866</v>
      </c>
      <c r="AK8" s="824">
        <f t="shared" si="8"/>
        <v>304683.45</v>
      </c>
      <c r="AL8" s="825"/>
    </row>
    <row r="9" spans="1:38" s="833" customFormat="1" x14ac:dyDescent="0.2">
      <c r="A9" s="827" t="s">
        <v>632</v>
      </c>
      <c r="B9" s="828"/>
      <c r="C9" s="828" t="s">
        <v>633</v>
      </c>
      <c r="D9" s="828"/>
      <c r="E9" s="829"/>
      <c r="F9" s="821" t="s">
        <v>631</v>
      </c>
      <c r="G9" s="830">
        <f t="shared" ref="G9:AJ9" si="9">SUM(G10:G13)</f>
        <v>0</v>
      </c>
      <c r="H9" s="831">
        <f t="shared" si="9"/>
        <v>13146.654500000004</v>
      </c>
      <c r="I9" s="831">
        <f t="shared" si="9"/>
        <v>13404.802299999981</v>
      </c>
      <c r="J9" s="831">
        <f t="shared" si="9"/>
        <v>13655.070099999983</v>
      </c>
      <c r="K9" s="831">
        <f t="shared" si="9"/>
        <v>13905.327900000033</v>
      </c>
      <c r="L9" s="831">
        <f t="shared" si="9"/>
        <v>14155.595700000034</v>
      </c>
      <c r="M9" s="831">
        <f t="shared" si="9"/>
        <v>14405.853500000027</v>
      </c>
      <c r="N9" s="831">
        <f t="shared" si="9"/>
        <v>14656.111300000048</v>
      </c>
      <c r="O9" s="831">
        <f t="shared" si="9"/>
        <v>14906.379099999976</v>
      </c>
      <c r="P9" s="831">
        <f t="shared" si="9"/>
        <v>15164.536900000021</v>
      </c>
      <c r="Q9" s="831">
        <f t="shared" si="9"/>
        <v>15422.684700000013</v>
      </c>
      <c r="R9" s="831">
        <f t="shared" si="9"/>
        <v>15680.832499999975</v>
      </c>
      <c r="S9" s="831">
        <f t="shared" si="9"/>
        <v>16056.229199999972</v>
      </c>
      <c r="T9" s="831">
        <f t="shared" si="9"/>
        <v>16431.625899999999</v>
      </c>
      <c r="U9" s="831">
        <f t="shared" si="9"/>
        <v>16807.012599999958</v>
      </c>
      <c r="V9" s="831">
        <f t="shared" si="9"/>
        <v>17182.409299999985</v>
      </c>
      <c r="W9" s="831">
        <f t="shared" si="9"/>
        <v>17557.806000000011</v>
      </c>
      <c r="X9" s="831">
        <f t="shared" si="9"/>
        <v>17933.192700000058</v>
      </c>
      <c r="Y9" s="831">
        <f t="shared" si="9"/>
        <v>18308.589400000026</v>
      </c>
      <c r="Z9" s="831">
        <f t="shared" si="9"/>
        <v>18683.986100000009</v>
      </c>
      <c r="AA9" s="831">
        <f t="shared" si="9"/>
        <v>19059.372800000012</v>
      </c>
      <c r="AB9" s="831">
        <f t="shared" si="9"/>
        <v>19434.769499999951</v>
      </c>
      <c r="AC9" s="831">
        <f t="shared" si="9"/>
        <v>19810.166199999949</v>
      </c>
      <c r="AD9" s="831">
        <f t="shared" si="9"/>
        <v>20185.552899999966</v>
      </c>
      <c r="AE9" s="831">
        <f t="shared" si="9"/>
        <v>20560.949599999978</v>
      </c>
      <c r="AF9" s="831">
        <f t="shared" si="9"/>
        <v>20944.226300000097</v>
      </c>
      <c r="AG9" s="831">
        <f t="shared" si="9"/>
        <v>21327.523000000074</v>
      </c>
      <c r="AH9" s="831">
        <f t="shared" si="9"/>
        <v>21710.809699999954</v>
      </c>
      <c r="AI9" s="831">
        <f t="shared" si="9"/>
        <v>22094.086399999884</v>
      </c>
      <c r="AJ9" s="831">
        <f t="shared" si="9"/>
        <v>22594.611999999936</v>
      </c>
      <c r="AK9" s="832">
        <f t="shared" si="8"/>
        <v>505186.76809999999</v>
      </c>
    </row>
    <row r="10" spans="1:38" s="826" customFormat="1" x14ac:dyDescent="0.2">
      <c r="A10" s="817"/>
      <c r="B10" s="819" t="str">
        <f>'[1]2.DL Naudas plūsma bez projekta'!A23</f>
        <v>2.1.</v>
      </c>
      <c r="C10" s="819" t="s">
        <v>653</v>
      </c>
      <c r="D10" s="819"/>
      <c r="E10" s="820">
        <v>0</v>
      </c>
      <c r="F10" s="821" t="s">
        <v>631</v>
      </c>
      <c r="G10" s="822">
        <f>'Saimnieciskas pamatdarbibas NP'!C141*(1+$E$10)</f>
        <v>0</v>
      </c>
      <c r="H10" s="823">
        <f>'Saimnieciskas pamatdarbibas NP'!D141*(1+$E$10)</f>
        <v>773.43000000000757</v>
      </c>
      <c r="I10" s="823">
        <f>'Saimnieciskas pamatdarbibas NP'!E141*(1+$E$10)</f>
        <v>795.32000000000698</v>
      </c>
      <c r="J10" s="823">
        <f>'Saimnieciskas pamatdarbibas NP'!F141*(1+$E$10)</f>
        <v>809.91000000000349</v>
      </c>
      <c r="K10" s="823">
        <f>'Saimnieciskas pamatdarbibas NP'!G141*(1+$E$10)</f>
        <v>824.50000000001455</v>
      </c>
      <c r="L10" s="823">
        <f>'Saimnieciskas pamatdarbibas NP'!H141*(1+$E$10)</f>
        <v>839.10000000002037</v>
      </c>
      <c r="M10" s="823">
        <f>'Saimnieciskas pamatdarbibas NP'!I141*(1+$E$10)</f>
        <v>853.69000000000233</v>
      </c>
      <c r="N10" s="823">
        <f>'Saimnieciskas pamatdarbibas NP'!J141*(1+$E$10)</f>
        <v>868.27999999999884</v>
      </c>
      <c r="O10" s="823">
        <f>'Saimnieciskas pamatdarbibas NP'!K141*(1+$E$10)</f>
        <v>882.8799999999901</v>
      </c>
      <c r="P10" s="823">
        <f>'Saimnieciskas pamatdarbibas NP'!L141*(1+$E$10)</f>
        <v>904.76999999998952</v>
      </c>
      <c r="Q10" s="823">
        <f>'Saimnieciskas pamatdarbibas NP'!M141*(1+$E$10)</f>
        <v>926.64999999999418</v>
      </c>
      <c r="R10" s="823">
        <f>'Saimnieciskas pamatdarbibas NP'!N141*(1+$E$10)</f>
        <v>948.5399999999936</v>
      </c>
      <c r="S10" s="823">
        <f>'Saimnieciskas pamatdarbibas NP'!O141*(1+$E$10)</f>
        <v>970.42999999999302</v>
      </c>
      <c r="T10" s="823">
        <f>'Saimnieciskas pamatdarbibas NP'!P141*(1+$E$10)</f>
        <v>992.31999999999243</v>
      </c>
      <c r="U10" s="823">
        <f>'Saimnieciskas pamatdarbibas NP'!Q141*(1+$E$10)</f>
        <v>1014.2100000000064</v>
      </c>
      <c r="V10" s="823">
        <f>'Saimnieciskas pamatdarbibas NP'!R141*(1+$E$10)</f>
        <v>1036.1000000000058</v>
      </c>
      <c r="W10" s="823">
        <f>'Saimnieciskas pamatdarbibas NP'!S141*(1+$E$10)</f>
        <v>1057.9900000000052</v>
      </c>
      <c r="X10" s="823">
        <f>'Saimnieciskas pamatdarbibas NP'!T141*(1+$E$10)</f>
        <v>1079.8800000000047</v>
      </c>
      <c r="Y10" s="823">
        <f>'Saimnieciskas pamatdarbibas NP'!U141*(1+$E$10)</f>
        <v>1101.7700000000186</v>
      </c>
      <c r="Z10" s="823">
        <f>'Saimnieciskas pamatdarbibas NP'!V141*(1+$E$10)</f>
        <v>1123.6600000000035</v>
      </c>
      <c r="AA10" s="823">
        <f>'Saimnieciskas pamatdarbibas NP'!W141*(1+$E$10)</f>
        <v>1145.5500000000029</v>
      </c>
      <c r="AB10" s="823">
        <f>'Saimnieciskas pamatdarbibas NP'!X141*(1+$E$10)</f>
        <v>1167.4399999999878</v>
      </c>
      <c r="AC10" s="823">
        <f>'Saimnieciskas pamatdarbibas NP'!Y141*(1+$E$10)</f>
        <v>1189.3300000000017</v>
      </c>
      <c r="AD10" s="823">
        <f>'Saimnieciskas pamatdarbibas NP'!Z141*(1+$E$10)</f>
        <v>1211.2200000000012</v>
      </c>
      <c r="AE10" s="823">
        <f>'Saimnieciskas pamatdarbibas NP'!AA141*(1+$E$10)</f>
        <v>1233.1100000000006</v>
      </c>
      <c r="AF10" s="823">
        <f>'Saimnieciskas pamatdarbibas NP'!AB141*(1+$E$10)</f>
        <v>1262.2900000000081</v>
      </c>
      <c r="AG10" s="823">
        <f>'Saimnieciskas pamatdarbibas NP'!AC141*(1+$E$10)</f>
        <v>1291.4800000000105</v>
      </c>
      <c r="AH10" s="823">
        <f>'Saimnieciskas pamatdarbibas NP'!AD141*(1+$E$10)</f>
        <v>1320.6699999999837</v>
      </c>
      <c r="AI10" s="823">
        <f>'Saimnieciskas pamatdarbibas NP'!AE141*(1+$E$10)</f>
        <v>1349.8499999999767</v>
      </c>
      <c r="AJ10" s="823">
        <f>'Saimnieciskas pamatdarbibas NP'!AF141*(1+$E$10)</f>
        <v>1379.0400000000081</v>
      </c>
      <c r="AK10" s="824">
        <f t="shared" si="8"/>
        <v>30353.410000000033</v>
      </c>
      <c r="AL10" s="825"/>
    </row>
    <row r="11" spans="1:38" s="826" customFormat="1" x14ac:dyDescent="0.2">
      <c r="A11" s="817"/>
      <c r="B11" s="819" t="str">
        <f>'[1]2.DL Naudas plūsma bez projekta'!A34</f>
        <v>2.2.</v>
      </c>
      <c r="C11" s="819" t="s">
        <v>652</v>
      </c>
      <c r="D11" s="819"/>
      <c r="E11" s="820">
        <v>0</v>
      </c>
      <c r="F11" s="821" t="s">
        <v>631</v>
      </c>
      <c r="G11" s="822">
        <f>'Saimnieciskas pamatdarbibas NP'!C128*(1+$E11)</f>
        <v>0</v>
      </c>
      <c r="H11" s="823">
        <f>'Saimnieciskas pamatdarbibas NP'!D128*(1+$E11)</f>
        <v>7136.5139999999956</v>
      </c>
      <c r="I11" s="823">
        <f>'Saimnieciskas pamatdarbibas NP'!E128*(1+$E11)</f>
        <v>7272.4475999999559</v>
      </c>
      <c r="J11" s="823">
        <f>'Saimnieciskas pamatdarbibas NP'!F128*(1+$E11)</f>
        <v>7408.3812000000034</v>
      </c>
      <c r="K11" s="823">
        <f>'Saimnieciskas pamatdarbibas NP'!G128*(1+$E11)</f>
        <v>7544.3148000000219</v>
      </c>
      <c r="L11" s="823">
        <f>'Saimnieciskas pamatdarbibas NP'!H128*(1+$E11)</f>
        <v>7680.2484000000113</v>
      </c>
      <c r="M11" s="823">
        <f>'Saimnieciskas pamatdarbibas NP'!I128*(1+$E11)</f>
        <v>7816.1820000000298</v>
      </c>
      <c r="N11" s="823">
        <f>'Saimnieciskas pamatdarbibas NP'!J128*(1+$E11)</f>
        <v>7952.1155999999901</v>
      </c>
      <c r="O11" s="823">
        <f>'Saimnieciskas pamatdarbibas NP'!K128*(1+$E11)</f>
        <v>8088.0492000000086</v>
      </c>
      <c r="P11" s="823">
        <f>'Saimnieciskas pamatdarbibas NP'!L128*(1+$E11)</f>
        <v>8223.982799999998</v>
      </c>
      <c r="Q11" s="823">
        <f>'Saimnieciskas pamatdarbibas NP'!M128*(1+$E11)</f>
        <v>8359.9164000000164</v>
      </c>
      <c r="R11" s="823">
        <f>'Saimnieciskas pamatdarbibas NP'!N128*(1+$E11)</f>
        <v>8495.8500000000058</v>
      </c>
      <c r="S11" s="823">
        <f>'Saimnieciskas pamatdarbibas NP'!O128*(1+$E11)</f>
        <v>8699.7503999999899</v>
      </c>
      <c r="T11" s="823">
        <f>'Saimnieciskas pamatdarbibas NP'!P128*(1+$E11)</f>
        <v>8903.6508000000031</v>
      </c>
      <c r="U11" s="823">
        <f>'Saimnieciskas pamatdarbibas NP'!Q128*(1+$E11)</f>
        <v>9107.5511999999871</v>
      </c>
      <c r="V11" s="823">
        <f>'Saimnieciskas pamatdarbibas NP'!R128*(1+$E11)</f>
        <v>9311.4516000000003</v>
      </c>
      <c r="W11" s="823">
        <f>'Saimnieciskas pamatdarbibas NP'!S128*(1+$E11)</f>
        <v>9515.3519999999844</v>
      </c>
      <c r="X11" s="823">
        <f>'Saimnieciskas pamatdarbibas NP'!T128*(1+$E11)</f>
        <v>9719.2524000000267</v>
      </c>
      <c r="Y11" s="823">
        <f>'Saimnieciskas pamatdarbibas NP'!U128*(1+$E11)</f>
        <v>9923.1528000000108</v>
      </c>
      <c r="Z11" s="823">
        <f>'Saimnieciskas pamatdarbibas NP'!V128*(1+$E11)</f>
        <v>10127.053200000024</v>
      </c>
      <c r="AA11" s="823">
        <f>'Saimnieciskas pamatdarbibas NP'!W128*(1+$E11)</f>
        <v>10330.953600000008</v>
      </c>
      <c r="AB11" s="823">
        <f>'Saimnieciskas pamatdarbibas NP'!X128*(1+$E11)</f>
        <v>10534.853999999963</v>
      </c>
      <c r="AC11" s="823">
        <f>'Saimnieciskas pamatdarbibas NP'!Y128*(1+$E11)</f>
        <v>10738.754399999976</v>
      </c>
      <c r="AD11" s="823">
        <f>'Saimnieciskas pamatdarbibas NP'!Z128*(1+$E11)</f>
        <v>10942.654799999989</v>
      </c>
      <c r="AE11" s="823">
        <f>'Saimnieciskas pamatdarbibas NP'!AA128*(1+$E11)</f>
        <v>11146.555200000003</v>
      </c>
      <c r="AF11" s="823">
        <f>'Saimnieciskas pamatdarbibas NP'!AB128*(1+$E11)</f>
        <v>11350.455600000045</v>
      </c>
      <c r="AG11" s="823">
        <f>'Saimnieciskas pamatdarbibas NP'!AC128*(1+$E11)</f>
        <v>11554.356000000029</v>
      </c>
      <c r="AH11" s="823">
        <f>'Saimnieciskas pamatdarbibas NP'!AD128*(1+$E11)</f>
        <v>11758.256400000013</v>
      </c>
      <c r="AI11" s="823">
        <f>'Saimnieciskas pamatdarbibas NP'!AE128*(1+$E11)</f>
        <v>11962.156799999939</v>
      </c>
      <c r="AJ11" s="823">
        <f>'Saimnieciskas pamatdarbibas NP'!AF128*(1+$E11)</f>
        <v>12234.023999999976</v>
      </c>
      <c r="AK11" s="824">
        <f t="shared" si="8"/>
        <v>273838.23719999997</v>
      </c>
      <c r="AL11" s="825"/>
    </row>
    <row r="12" spans="1:38" s="826" customFormat="1" x14ac:dyDescent="0.2">
      <c r="A12" s="817"/>
      <c r="B12" s="819" t="str">
        <f>'[1]2.DL Naudas plūsma bez projekta'!A37</f>
        <v>2.3.</v>
      </c>
      <c r="C12" s="819" t="s">
        <v>654</v>
      </c>
      <c r="D12" s="819"/>
      <c r="E12" s="820">
        <v>0</v>
      </c>
      <c r="F12" s="821" t="s">
        <v>631</v>
      </c>
      <c r="G12" s="822">
        <f>'Saimnieciskas pamatdarbibas NP'!C145*(1+$E12)</f>
        <v>0</v>
      </c>
      <c r="H12" s="823">
        <f>'Saimnieciskas pamatdarbibas NP'!D145*(1+$E12)</f>
        <v>63.139999999999418</v>
      </c>
      <c r="I12" s="823">
        <f>'Saimnieciskas pamatdarbibas NP'!E145*(1+$E12)</f>
        <v>64.920000000012806</v>
      </c>
      <c r="J12" s="823">
        <f>'Saimnieciskas pamatdarbibas NP'!F145*(1+$E12)</f>
        <v>66.119999999995343</v>
      </c>
      <c r="K12" s="823">
        <f>'Saimnieciskas pamatdarbibas NP'!G145*(1+$E12)</f>
        <v>67.310000000012224</v>
      </c>
      <c r="L12" s="823">
        <f>'Saimnieciskas pamatdarbibas NP'!H145*(1+$E12)</f>
        <v>68.500000000014552</v>
      </c>
      <c r="M12" s="823">
        <f>'Saimnieciskas pamatdarbibas NP'!I145*(1+$E12)</f>
        <v>69.690000000002328</v>
      </c>
      <c r="N12" s="823">
        <f>'Saimnieciskas pamatdarbibas NP'!J145*(1+$E12)</f>
        <v>70.880000000004657</v>
      </c>
      <c r="O12" s="823">
        <f>'Saimnieciskas pamatdarbibas NP'!K145*(1+$E12)</f>
        <v>72.070000000006985</v>
      </c>
      <c r="P12" s="823">
        <f>'Saimnieciskas pamatdarbibas NP'!L145*(1+$E12)</f>
        <v>73.860000000000582</v>
      </c>
      <c r="Q12" s="823">
        <f>'Saimnieciskas pamatdarbibas NP'!M145*(1+$E12)</f>
        <v>75.649999999994179</v>
      </c>
      <c r="R12" s="823">
        <f>'Saimnieciskas pamatdarbibas NP'!N145*(1+$E12)</f>
        <v>77.429999999993015</v>
      </c>
      <c r="S12" s="823">
        <f>'Saimnieciskas pamatdarbibas NP'!O145*(1+$E12)</f>
        <v>79.220000000001164</v>
      </c>
      <c r="T12" s="823">
        <f>'Saimnieciskas pamatdarbibas NP'!P145*(1+$E12)</f>
        <v>81.010000000009313</v>
      </c>
      <c r="U12" s="823">
        <f>'Saimnieciskas pamatdarbibas NP'!Q145*(1+$E12)</f>
        <v>82.789999999993597</v>
      </c>
      <c r="V12" s="823">
        <f>'Saimnieciskas pamatdarbibas NP'!R145*(1+$E12)</f>
        <v>84.580000000001746</v>
      </c>
      <c r="W12" s="823">
        <f>'Saimnieciskas pamatdarbibas NP'!S145*(1+$E12)</f>
        <v>86.370000000009895</v>
      </c>
      <c r="X12" s="823">
        <f>'Saimnieciskas pamatdarbibas NP'!T145*(1+$E12)</f>
        <v>88.150000000008731</v>
      </c>
      <c r="Y12" s="823">
        <f>'Saimnieciskas pamatdarbibas NP'!U145*(1+$E12)</f>
        <v>89.940000000002328</v>
      </c>
      <c r="Z12" s="823">
        <f>'Saimnieciskas pamatdarbibas NP'!V145*(1+$E12)</f>
        <v>91.730000000010477</v>
      </c>
      <c r="AA12" s="823">
        <f>'Saimnieciskas pamatdarbibas NP'!W145*(1+$E12)</f>
        <v>93.509999999994761</v>
      </c>
      <c r="AB12" s="823">
        <f>'Saimnieciskas pamatdarbibas NP'!X145*(1+$E12)</f>
        <v>95.299999999988358</v>
      </c>
      <c r="AC12" s="823">
        <f>'Saimnieciskas pamatdarbibas NP'!Y145*(1+$E12)</f>
        <v>97.090000000011059</v>
      </c>
      <c r="AD12" s="823">
        <f>'Saimnieciskas pamatdarbibas NP'!Z145*(1+$E12)</f>
        <v>98.870000000009895</v>
      </c>
      <c r="AE12" s="823">
        <f>'Saimnieciskas pamatdarbibas NP'!AA145*(1+$E12)</f>
        <v>100.66000000000349</v>
      </c>
      <c r="AF12" s="823">
        <f>'Saimnieciskas pamatdarbibas NP'!AB145*(1+$E12)</f>
        <v>103.04000000000815</v>
      </c>
      <c r="AG12" s="823">
        <f>'Saimnieciskas pamatdarbibas NP'!AC145*(1+$E12)</f>
        <v>105.42999999999302</v>
      </c>
      <c r="AH12" s="823">
        <f>'Saimnieciskas pamatdarbibas NP'!AD145*(1+$E12)</f>
        <v>107.80999999996857</v>
      </c>
      <c r="AI12" s="823">
        <f>'Saimnieciskas pamatdarbibas NP'!AE145*(1+$E12)</f>
        <v>110.18999999997322</v>
      </c>
      <c r="AJ12" s="823">
        <f>'Saimnieciskas pamatdarbibas NP'!AF145*(1+$E12)</f>
        <v>112.57000000000698</v>
      </c>
      <c r="AK12" s="824">
        <f t="shared" si="8"/>
        <v>2477.8300000000309</v>
      </c>
      <c r="AL12" s="825"/>
    </row>
    <row r="13" spans="1:38" s="826" customFormat="1" x14ac:dyDescent="0.2">
      <c r="A13" s="817"/>
      <c r="B13" s="819" t="str">
        <f>'[1]2.DL Naudas plūsma bez projekta'!A43</f>
        <v>2.4.</v>
      </c>
      <c r="C13" s="819" t="s">
        <v>655</v>
      </c>
      <c r="D13" s="819"/>
      <c r="E13" s="820">
        <v>0</v>
      </c>
      <c r="F13" s="821" t="s">
        <v>631</v>
      </c>
      <c r="G13" s="822">
        <f>'Saimnieciskas pamatdarbibas NP'!C134*(1+$E13)</f>
        <v>0</v>
      </c>
      <c r="H13" s="823">
        <f>'Saimnieciskas pamatdarbibas NP'!D134*(1+$E13)</f>
        <v>5173.5705000000016</v>
      </c>
      <c r="I13" s="823">
        <f>'Saimnieciskas pamatdarbibas NP'!E134*(1+$E13)</f>
        <v>5272.1147000000055</v>
      </c>
      <c r="J13" s="823">
        <f>'Saimnieciskas pamatdarbibas NP'!F134*(1+$E13)</f>
        <v>5370.6588999999803</v>
      </c>
      <c r="K13" s="823">
        <f>'Saimnieciskas pamatdarbibas NP'!G134*(1+$E13)</f>
        <v>5469.2030999999843</v>
      </c>
      <c r="L13" s="823">
        <f>'Saimnieciskas pamatdarbibas NP'!H134*(1+$E13)</f>
        <v>5567.7472999999882</v>
      </c>
      <c r="M13" s="823">
        <f>'Saimnieciskas pamatdarbibas NP'!I134*(1+$E13)</f>
        <v>5666.2914999999921</v>
      </c>
      <c r="N13" s="823">
        <f>'Saimnieciskas pamatdarbibas NP'!J134*(1+$E13)</f>
        <v>5764.8357000000542</v>
      </c>
      <c r="O13" s="823">
        <f>'Saimnieciskas pamatdarbibas NP'!K134*(1+$E13)</f>
        <v>5863.3798999999708</v>
      </c>
      <c r="P13" s="823">
        <f>'Saimnieciskas pamatdarbibas NP'!L134*(1+$E13)</f>
        <v>5961.9241000000329</v>
      </c>
      <c r="Q13" s="823">
        <f>'Saimnieciskas pamatdarbibas NP'!M134*(1+$E13)</f>
        <v>6060.4683000000077</v>
      </c>
      <c r="R13" s="823">
        <f>'Saimnieciskas pamatdarbibas NP'!N134*(1+$E13)</f>
        <v>6159.0124999999825</v>
      </c>
      <c r="S13" s="823">
        <f>'Saimnieciskas pamatdarbibas NP'!O134*(1+$E13)</f>
        <v>6306.8287999999884</v>
      </c>
      <c r="T13" s="823">
        <f>'Saimnieciskas pamatdarbibas NP'!P134*(1+$E13)</f>
        <v>6454.6450999999943</v>
      </c>
      <c r="U13" s="823">
        <f>'Saimnieciskas pamatdarbibas NP'!Q134*(1+$E13)</f>
        <v>6602.461399999971</v>
      </c>
      <c r="V13" s="823">
        <f>'Saimnieciskas pamatdarbibas NP'!R134*(1+$E13)</f>
        <v>6750.2776999999769</v>
      </c>
      <c r="W13" s="823">
        <f>'Saimnieciskas pamatdarbibas NP'!S134*(1+$E13)</f>
        <v>6898.0940000000119</v>
      </c>
      <c r="X13" s="823">
        <f>'Saimnieciskas pamatdarbibas NP'!T134*(1+$E13)</f>
        <v>7045.9103000000177</v>
      </c>
      <c r="Y13" s="823">
        <f>'Saimnieciskas pamatdarbibas NP'!U134*(1+$E13)</f>
        <v>7193.7265999999945</v>
      </c>
      <c r="Z13" s="823">
        <f>'Saimnieciskas pamatdarbibas NP'!V134*(1+$E13)</f>
        <v>7341.5428999999713</v>
      </c>
      <c r="AA13" s="823">
        <f>'Saimnieciskas pamatdarbibas NP'!W134*(1+$E13)</f>
        <v>7489.3592000000062</v>
      </c>
      <c r="AB13" s="823">
        <f>'Saimnieciskas pamatdarbibas NP'!X134*(1+$E13)</f>
        <v>7637.1755000000121</v>
      </c>
      <c r="AC13" s="823">
        <f>'Saimnieciskas pamatdarbibas NP'!Y134*(1+$E13)</f>
        <v>7784.9917999999598</v>
      </c>
      <c r="AD13" s="823">
        <f>'Saimnieciskas pamatdarbibas NP'!Z134*(1+$E13)</f>
        <v>7932.8080999999656</v>
      </c>
      <c r="AE13" s="823">
        <f>'Saimnieciskas pamatdarbibas NP'!AA134*(1+$E13)</f>
        <v>8080.6243999999715</v>
      </c>
      <c r="AF13" s="823">
        <f>'Saimnieciskas pamatdarbibas NP'!AB134*(1+$E13)</f>
        <v>8228.4407000000356</v>
      </c>
      <c r="AG13" s="823">
        <f>'Saimnieciskas pamatdarbibas NP'!AC134*(1+$E13)</f>
        <v>8376.2570000000414</v>
      </c>
      <c r="AH13" s="823">
        <f>'Saimnieciskas pamatdarbibas NP'!AD134*(1+$E13)</f>
        <v>8524.0732999999891</v>
      </c>
      <c r="AI13" s="823">
        <f>'Saimnieciskas pamatdarbibas NP'!AE134*(1+$E13)</f>
        <v>8671.889599999995</v>
      </c>
      <c r="AJ13" s="823">
        <f>'Saimnieciskas pamatdarbibas NP'!AF134*(1+$E13)</f>
        <v>8868.9779999999446</v>
      </c>
      <c r="AK13" s="824">
        <f t="shared" si="8"/>
        <v>198517.29089999985</v>
      </c>
      <c r="AL13" s="825"/>
    </row>
    <row r="14" spans="1:38" s="833" customFormat="1" x14ac:dyDescent="0.2">
      <c r="A14" s="827" t="str">
        <f>'[1]3.DL Naudas plūsma ar projektu'!A52</f>
        <v>3.</v>
      </c>
      <c r="B14" s="828"/>
      <c r="C14" s="828" t="s">
        <v>651</v>
      </c>
      <c r="D14" s="828"/>
      <c r="E14" s="828"/>
      <c r="F14" s="821" t="s">
        <v>631</v>
      </c>
      <c r="G14" s="830">
        <f>SUM(G15:G16)</f>
        <v>246585</v>
      </c>
      <c r="H14" s="831">
        <f t="shared" ref="H14:AJ14" si="10">SUM(H15:H16)</f>
        <v>36400</v>
      </c>
      <c r="I14" s="831">
        <f t="shared" si="10"/>
        <v>0</v>
      </c>
      <c r="J14" s="831">
        <f t="shared" si="10"/>
        <v>0</v>
      </c>
      <c r="K14" s="831">
        <f t="shared" si="10"/>
        <v>0</v>
      </c>
      <c r="L14" s="831">
        <f t="shared" si="10"/>
        <v>0</v>
      </c>
      <c r="M14" s="831">
        <f t="shared" si="10"/>
        <v>0</v>
      </c>
      <c r="N14" s="831">
        <f t="shared" si="10"/>
        <v>0</v>
      </c>
      <c r="O14" s="831">
        <f t="shared" si="10"/>
        <v>0</v>
      </c>
      <c r="P14" s="831">
        <f t="shared" si="10"/>
        <v>0</v>
      </c>
      <c r="Q14" s="831">
        <f t="shared" si="10"/>
        <v>0</v>
      </c>
      <c r="R14" s="831">
        <f t="shared" si="10"/>
        <v>0</v>
      </c>
      <c r="S14" s="831">
        <f t="shared" si="10"/>
        <v>0</v>
      </c>
      <c r="T14" s="831">
        <f t="shared" si="10"/>
        <v>0</v>
      </c>
      <c r="U14" s="831">
        <f t="shared" si="10"/>
        <v>0</v>
      </c>
      <c r="V14" s="831">
        <f t="shared" si="10"/>
        <v>0</v>
      </c>
      <c r="W14" s="831">
        <f t="shared" si="10"/>
        <v>0</v>
      </c>
      <c r="X14" s="831">
        <f t="shared" si="10"/>
        <v>0</v>
      </c>
      <c r="Y14" s="831">
        <f t="shared" si="10"/>
        <v>0</v>
      </c>
      <c r="Z14" s="831">
        <f t="shared" si="10"/>
        <v>0</v>
      </c>
      <c r="AA14" s="831">
        <f t="shared" si="10"/>
        <v>0</v>
      </c>
      <c r="AB14" s="831">
        <f t="shared" si="10"/>
        <v>0</v>
      </c>
      <c r="AC14" s="831">
        <f t="shared" si="10"/>
        <v>0</v>
      </c>
      <c r="AD14" s="831">
        <f t="shared" si="10"/>
        <v>0</v>
      </c>
      <c r="AE14" s="831">
        <f t="shared" si="10"/>
        <v>0</v>
      </c>
      <c r="AF14" s="831">
        <f t="shared" si="10"/>
        <v>0</v>
      </c>
      <c r="AG14" s="831">
        <f t="shared" si="10"/>
        <v>0</v>
      </c>
      <c r="AH14" s="831">
        <f t="shared" si="10"/>
        <v>0</v>
      </c>
      <c r="AI14" s="831">
        <f t="shared" si="10"/>
        <v>0</v>
      </c>
      <c r="AJ14" s="831">
        <f t="shared" si="10"/>
        <v>0</v>
      </c>
      <c r="AK14" s="832">
        <f t="shared" si="8"/>
        <v>282985</v>
      </c>
    </row>
    <row r="15" spans="1:38" s="826" customFormat="1" x14ac:dyDescent="0.2">
      <c r="A15" s="817"/>
      <c r="B15" s="819" t="str">
        <f>'[1]3.DL Naudas plūsma ar projektu'!A53</f>
        <v>3.1.</v>
      </c>
      <c r="C15" s="819" t="s">
        <v>656</v>
      </c>
      <c r="D15" s="819"/>
      <c r="E15" s="820">
        <v>0</v>
      </c>
      <c r="F15" s="821" t="s">
        <v>631</v>
      </c>
      <c r="G15" s="822">
        <f>Aprekini!C154*(1+$E$15)</f>
        <v>40800</v>
      </c>
      <c r="H15" s="823">
        <f>Aprekini!D154*(1+$E$15)</f>
        <v>36400</v>
      </c>
      <c r="I15" s="823">
        <f>Aprekini!E154*(1+$E$15)</f>
        <v>0</v>
      </c>
      <c r="J15" s="823">
        <f>Aprekini!F154*(1+$E$15)</f>
        <v>0</v>
      </c>
      <c r="K15" s="823">
        <f>Aprekini!G154*(1+$E$15)</f>
        <v>0</v>
      </c>
      <c r="L15" s="823">
        <f>Aprekini!H154*(1+$E$15)</f>
        <v>0</v>
      </c>
      <c r="M15" s="823">
        <f>Aprekini!I154*(1+$E$15)</f>
        <v>0</v>
      </c>
      <c r="N15" s="823">
        <f>Aprekini!J154*(1+$E$15)</f>
        <v>0</v>
      </c>
      <c r="O15" s="823">
        <f>Aprekini!K154*(1+$E$15)</f>
        <v>0</v>
      </c>
      <c r="P15" s="823">
        <f>Aprekini!L154*(1+$E$15)</f>
        <v>0</v>
      </c>
      <c r="Q15" s="823">
        <f>Aprekini!M154*(1+$E$15)</f>
        <v>0</v>
      </c>
      <c r="R15" s="823">
        <f>Aprekini!N154*(1+$E$15)</f>
        <v>0</v>
      </c>
      <c r="S15" s="823">
        <f>Aprekini!O154*(1+$E$15)</f>
        <v>0</v>
      </c>
      <c r="T15" s="823">
        <f>Aprekini!P154*(1+$E$15)</f>
        <v>0</v>
      </c>
      <c r="U15" s="823">
        <f>Aprekini!Q154*(1+$E$15)</f>
        <v>0</v>
      </c>
      <c r="V15" s="823">
        <f>Aprekini!R154*(1+$E$15)</f>
        <v>0</v>
      </c>
      <c r="W15" s="823">
        <f>Aprekini!S154*(1+$E$15)</f>
        <v>0</v>
      </c>
      <c r="X15" s="823">
        <f>Aprekini!T154*(1+$E$15)</f>
        <v>0</v>
      </c>
      <c r="Y15" s="823">
        <f>Aprekini!U154*(1+$E$15)</f>
        <v>0</v>
      </c>
      <c r="Z15" s="823">
        <f>Aprekini!V154*(1+$E$15)</f>
        <v>0</v>
      </c>
      <c r="AA15" s="823">
        <f>Aprekini!W154*(1+$E$15)</f>
        <v>0</v>
      </c>
      <c r="AB15" s="823">
        <f>Aprekini!X154*(1+$E$15)</f>
        <v>0</v>
      </c>
      <c r="AC15" s="823">
        <f>Aprekini!Y154*(1+$E$15)</f>
        <v>0</v>
      </c>
      <c r="AD15" s="823">
        <f>Aprekini!Z154*(1+$E$15)</f>
        <v>0</v>
      </c>
      <c r="AE15" s="823">
        <f>Aprekini!AA154*(1+$E$15)</f>
        <v>0</v>
      </c>
      <c r="AF15" s="823">
        <f>Aprekini!AB154*(1+$E$15)</f>
        <v>0</v>
      </c>
      <c r="AG15" s="823">
        <f>Aprekini!AC154*(1+$E$15)</f>
        <v>0</v>
      </c>
      <c r="AH15" s="823">
        <f>Aprekini!AD154*(1+$E$15)</f>
        <v>0</v>
      </c>
      <c r="AI15" s="823">
        <f>Aprekini!AE154*(1+$E$15)</f>
        <v>0</v>
      </c>
      <c r="AJ15" s="823">
        <f>Aprekini!AF154*(1+$E$15)</f>
        <v>0</v>
      </c>
      <c r="AK15" s="824">
        <f t="shared" si="8"/>
        <v>77200</v>
      </c>
      <c r="AL15" s="825"/>
    </row>
    <row r="16" spans="1:38" s="825" customFormat="1" x14ac:dyDescent="0.2">
      <c r="A16" s="817"/>
      <c r="B16" s="819" t="str">
        <f>'[1]3.DL Naudas plūsma ar projektu'!A55</f>
        <v>3.2.</v>
      </c>
      <c r="C16" s="819" t="s">
        <v>657</v>
      </c>
      <c r="D16" s="819"/>
      <c r="E16" s="820">
        <v>0</v>
      </c>
      <c r="F16" s="821" t="s">
        <v>631</v>
      </c>
      <c r="G16" s="822">
        <f>Aprekini!C155*(1+$E$16)</f>
        <v>205785</v>
      </c>
      <c r="H16" s="823">
        <f>Aprekini!D155*(1+$E$16)</f>
        <v>0</v>
      </c>
      <c r="I16" s="823">
        <f>Aprekini!E155*(1+$E$16)</f>
        <v>0</v>
      </c>
      <c r="J16" s="823">
        <f>Aprekini!F155*(1+$E$16)</f>
        <v>0</v>
      </c>
      <c r="K16" s="823">
        <f>Aprekini!G155*(1+$E$16)</f>
        <v>0</v>
      </c>
      <c r="L16" s="823">
        <f>Aprekini!H155*(1+$E$16)</f>
        <v>0</v>
      </c>
      <c r="M16" s="823">
        <f>Aprekini!I155*(1+$E$16)</f>
        <v>0</v>
      </c>
      <c r="N16" s="823">
        <f>Aprekini!J155*(1+$E$16)</f>
        <v>0</v>
      </c>
      <c r="O16" s="823">
        <f>Aprekini!K155*(1+$E$16)</f>
        <v>0</v>
      </c>
      <c r="P16" s="823">
        <f>Aprekini!L155*(1+$E$16)</f>
        <v>0</v>
      </c>
      <c r="Q16" s="823">
        <f>Aprekini!M155*(1+$E$16)</f>
        <v>0</v>
      </c>
      <c r="R16" s="823">
        <f>Aprekini!N155*(1+$E$16)</f>
        <v>0</v>
      </c>
      <c r="S16" s="823">
        <f>Aprekini!O155*(1+$E$16)</f>
        <v>0</v>
      </c>
      <c r="T16" s="823">
        <f>Aprekini!P155*(1+$E$16)</f>
        <v>0</v>
      </c>
      <c r="U16" s="823">
        <f>Aprekini!Q155*(1+$E$16)</f>
        <v>0</v>
      </c>
      <c r="V16" s="823">
        <f>Aprekini!R155*(1+$E$16)</f>
        <v>0</v>
      </c>
      <c r="W16" s="823">
        <f>Aprekini!S155*(1+$E$16)</f>
        <v>0</v>
      </c>
      <c r="X16" s="823">
        <f>Aprekini!T155*(1+$E$16)</f>
        <v>0</v>
      </c>
      <c r="Y16" s="823">
        <f>Aprekini!U155*(1+$E$16)</f>
        <v>0</v>
      </c>
      <c r="Z16" s="823">
        <f>Aprekini!V155*(1+$E$16)</f>
        <v>0</v>
      </c>
      <c r="AA16" s="823">
        <f>Aprekini!W155*(1+$E$16)</f>
        <v>0</v>
      </c>
      <c r="AB16" s="823">
        <f>Aprekini!X155*(1+$E$16)</f>
        <v>0</v>
      </c>
      <c r="AC16" s="823">
        <f>Aprekini!Y155*(1+$E$16)</f>
        <v>0</v>
      </c>
      <c r="AD16" s="823">
        <f>Aprekini!Z155*(1+$E$16)</f>
        <v>0</v>
      </c>
      <c r="AE16" s="823">
        <f>Aprekini!AA155*(1+$E$16)</f>
        <v>0</v>
      </c>
      <c r="AF16" s="823">
        <f>Aprekini!AB155*(1+$E$16)</f>
        <v>0</v>
      </c>
      <c r="AG16" s="823">
        <f>Aprekini!AC155*(1+$E$16)</f>
        <v>0</v>
      </c>
      <c r="AH16" s="823">
        <f>Aprekini!AD155*(1+$E$16)</f>
        <v>0</v>
      </c>
      <c r="AI16" s="823">
        <f>Aprekini!AE155*(1+$E$16)</f>
        <v>0</v>
      </c>
      <c r="AJ16" s="823">
        <f>Aprekini!AF155*(1+$E$16)</f>
        <v>0</v>
      </c>
      <c r="AK16" s="824">
        <f t="shared" si="8"/>
        <v>205785</v>
      </c>
    </row>
    <row r="17" spans="1:63" s="834" customFormat="1" x14ac:dyDescent="0.2">
      <c r="A17" s="827" t="str">
        <f>'[1]3.DL Naudas plūsma ar projektu'!A57</f>
        <v>4.</v>
      </c>
      <c r="B17" s="828"/>
      <c r="C17" s="828" t="s">
        <v>641</v>
      </c>
      <c r="D17" s="828"/>
      <c r="E17" s="820">
        <v>0</v>
      </c>
      <c r="F17" s="867" t="s">
        <v>631</v>
      </c>
      <c r="G17" s="831">
        <f>Aprekini!C168*(1+$E$17)</f>
        <v>0</v>
      </c>
      <c r="H17" s="831">
        <f>Aprekini!D168*(1+$E$17)</f>
        <v>0</v>
      </c>
      <c r="I17" s="831">
        <f>Aprekini!E168*(1+$E$17)</f>
        <v>0</v>
      </c>
      <c r="J17" s="831">
        <f>Aprekini!F168*(1+$E$17)</f>
        <v>0</v>
      </c>
      <c r="K17" s="831">
        <f>Aprekini!G168*(1+$E$17)</f>
        <v>0</v>
      </c>
      <c r="L17" s="831">
        <f>Aprekini!H168*(1+$E$17)</f>
        <v>0</v>
      </c>
      <c r="M17" s="831">
        <f>Aprekini!I168*(1+$E$17)</f>
        <v>0</v>
      </c>
      <c r="N17" s="831">
        <f>Aprekini!J168*(1+$E$17)</f>
        <v>0</v>
      </c>
      <c r="O17" s="831">
        <f>Aprekini!K168*(1+$E$17)</f>
        <v>0</v>
      </c>
      <c r="P17" s="831">
        <f>Aprekini!L168*(1+$E$17)</f>
        <v>0</v>
      </c>
      <c r="Q17" s="831">
        <f>Aprekini!M168*(1+$E$17)</f>
        <v>0</v>
      </c>
      <c r="R17" s="831">
        <f>Aprekini!N168*(1+$E$17)</f>
        <v>0</v>
      </c>
      <c r="S17" s="831">
        <f>Aprekini!O168*(1+$E$17)</f>
        <v>0</v>
      </c>
      <c r="T17" s="831">
        <f>Aprekini!P168*(1+$E$17)</f>
        <v>0</v>
      </c>
      <c r="U17" s="831">
        <f>Aprekini!Q168*(1+$E$17)</f>
        <v>0</v>
      </c>
      <c r="V17" s="831">
        <f>Aprekini!R168*(1+$E$17)</f>
        <v>0</v>
      </c>
      <c r="W17" s="831">
        <f>Aprekini!S168*(1+$E$17)</f>
        <v>0</v>
      </c>
      <c r="X17" s="831">
        <f>Aprekini!T168*(1+$E$17)</f>
        <v>0</v>
      </c>
      <c r="Y17" s="831">
        <f>Aprekini!U168*(1+$E$17)</f>
        <v>0</v>
      </c>
      <c r="Z17" s="831">
        <f>Aprekini!V168*(1+$E$17)</f>
        <v>0</v>
      </c>
      <c r="AA17" s="831">
        <f>Aprekini!W168*(1+$E$17)</f>
        <v>0</v>
      </c>
      <c r="AB17" s="831">
        <f>Aprekini!X168*(1+$E$17)</f>
        <v>0</v>
      </c>
      <c r="AC17" s="831">
        <f>Aprekini!Y168*(1+$E$17)</f>
        <v>0</v>
      </c>
      <c r="AD17" s="831">
        <f>Aprekini!Z168*(1+$E$17)</f>
        <v>0</v>
      </c>
      <c r="AE17" s="831">
        <f>Aprekini!AA168*(1+$E$17)</f>
        <v>0</v>
      </c>
      <c r="AF17" s="831">
        <f>Aprekini!AB168*(1+$E$17)</f>
        <v>0</v>
      </c>
      <c r="AG17" s="831">
        <f>Aprekini!AC168*(1+$E$17)</f>
        <v>0</v>
      </c>
      <c r="AH17" s="831">
        <f>Aprekini!AD168*(1+$E$17)</f>
        <v>0</v>
      </c>
      <c r="AI17" s="831">
        <f>Aprekini!AE168*(1+$E$17)</f>
        <v>0</v>
      </c>
      <c r="AJ17" s="831">
        <f>Aprekini!AF168*(1+$E$17)</f>
        <v>54164</v>
      </c>
      <c r="AK17" s="832">
        <f t="shared" si="8"/>
        <v>54164</v>
      </c>
      <c r="AL17" s="833"/>
    </row>
    <row r="18" spans="1:63" s="833" customFormat="1" x14ac:dyDescent="0.2">
      <c r="A18" s="835" t="s">
        <v>634</v>
      </c>
      <c r="B18" s="836"/>
      <c r="C18" s="836" t="s">
        <v>635</v>
      </c>
      <c r="D18" s="836"/>
      <c r="E18" s="836"/>
      <c r="F18" s="837" t="s">
        <v>631</v>
      </c>
      <c r="G18" s="838">
        <f t="shared" ref="G18:AD18" si="11">SUM(G6,G17)-SUM(G9,G14)</f>
        <v>-246585</v>
      </c>
      <c r="H18" s="839">
        <f t="shared" si="11"/>
        <v>-22027.800500000096</v>
      </c>
      <c r="I18" s="839">
        <f t="shared" si="11"/>
        <v>22477.927699999986</v>
      </c>
      <c r="J18" s="839">
        <f t="shared" si="11"/>
        <v>17279.081899999968</v>
      </c>
      <c r="K18" s="839">
        <f t="shared" si="11"/>
        <v>18421.304099999954</v>
      </c>
      <c r="L18" s="839">
        <f t="shared" si="11"/>
        <v>19638.414299999968</v>
      </c>
      <c r="M18" s="839">
        <f t="shared" si="11"/>
        <v>17572.658500000027</v>
      </c>
      <c r="N18" s="839">
        <f t="shared" si="11"/>
        <v>15581.800699999949</v>
      </c>
      <c r="O18" s="839">
        <f t="shared" si="11"/>
        <v>19931.990899999997</v>
      </c>
      <c r="P18" s="839">
        <f t="shared" si="11"/>
        <v>18629.473100000003</v>
      </c>
      <c r="Q18" s="839">
        <f t="shared" si="11"/>
        <v>17600.187300000012</v>
      </c>
      <c r="R18" s="839">
        <f t="shared" si="11"/>
        <v>6475.4215000000695</v>
      </c>
      <c r="S18" s="839">
        <f t="shared" si="11"/>
        <v>5055.6647999999623</v>
      </c>
      <c r="T18" s="839">
        <f t="shared" si="11"/>
        <v>2168.5300999999818</v>
      </c>
      <c r="U18" s="839">
        <f t="shared" si="11"/>
        <v>5697.3614000000016</v>
      </c>
      <c r="V18" s="839">
        <f t="shared" si="11"/>
        <v>-670.97329999997601</v>
      </c>
      <c r="W18" s="839">
        <f t="shared" si="11"/>
        <v>2857.8479999999763</v>
      </c>
      <c r="X18" s="839">
        <f t="shared" si="11"/>
        <v>-29.276700000060373</v>
      </c>
      <c r="Y18" s="839">
        <f t="shared" si="11"/>
        <v>3499.5445999999574</v>
      </c>
      <c r="Z18" s="839">
        <f t="shared" si="11"/>
        <v>960.52989999998681</v>
      </c>
      <c r="AA18" s="839">
        <f t="shared" si="11"/>
        <v>4489.3611999999557</v>
      </c>
      <c r="AB18" s="839">
        <f t="shared" si="11"/>
        <v>1602.2265000000625</v>
      </c>
      <c r="AC18" s="839">
        <f t="shared" si="11"/>
        <v>1649.847800000025</v>
      </c>
      <c r="AD18" s="839">
        <f t="shared" si="11"/>
        <v>1970.7011000000202</v>
      </c>
      <c r="AE18" s="839">
        <f t="shared" ref="AE18:AJ18" si="12">SUM(AE6,AE17)-SUM(AE9,AE14)</f>
        <v>2291.5444000000134</v>
      </c>
      <c r="AF18" s="839">
        <f t="shared" si="12"/>
        <v>3300.7476999998908</v>
      </c>
      <c r="AG18" s="839">
        <f t="shared" si="12"/>
        <v>1176.8509999999078</v>
      </c>
      <c r="AH18" s="839">
        <f t="shared" si="12"/>
        <v>2186.0443000000378</v>
      </c>
      <c r="AI18" s="839">
        <f t="shared" si="12"/>
        <v>3195.2476000001479</v>
      </c>
      <c r="AJ18" s="839">
        <f t="shared" si="12"/>
        <v>56858.722000000038</v>
      </c>
      <c r="AK18" s="840">
        <f t="shared" si="8"/>
        <v>3255.9818999997951</v>
      </c>
      <c r="AL18" s="841"/>
    </row>
    <row r="19" spans="1:63" s="825" customFormat="1" ht="13.5" thickBot="1" x14ac:dyDescent="0.25"/>
    <row r="20" spans="1:63" s="802" customFormat="1" ht="13.5" thickBot="1" x14ac:dyDescent="0.25">
      <c r="A20" s="893"/>
      <c r="B20" s="860"/>
      <c r="C20" s="860" t="s">
        <v>636</v>
      </c>
      <c r="D20" s="860"/>
      <c r="E20" s="860"/>
      <c r="F20" s="861" t="s">
        <v>559</v>
      </c>
      <c r="G20" s="843">
        <f>'Kopējie pieņēmumi'!B16</f>
        <v>7.3999999999999996E-2</v>
      </c>
      <c r="H20" s="844"/>
      <c r="I20" s="844"/>
      <c r="J20" s="844"/>
      <c r="K20" s="844"/>
      <c r="L20" s="844"/>
      <c r="M20" s="844"/>
      <c r="N20" s="844"/>
      <c r="O20" s="844"/>
      <c r="P20" s="844"/>
      <c r="Q20" s="844"/>
      <c r="R20" s="844"/>
      <c r="S20" s="844"/>
      <c r="T20" s="844"/>
      <c r="U20" s="844"/>
      <c r="V20" s="804"/>
      <c r="W20" s="804"/>
    </row>
    <row r="21" spans="1:63" s="803" customFormat="1" x14ac:dyDescent="0.2">
      <c r="A21" s="804"/>
      <c r="B21" s="804"/>
      <c r="C21" s="845"/>
      <c r="D21" s="845"/>
      <c r="E21" s="845"/>
      <c r="F21" s="842"/>
      <c r="G21" s="804"/>
      <c r="H21" s="804"/>
      <c r="I21" s="804"/>
      <c r="J21" s="804"/>
      <c r="K21" s="804"/>
      <c r="L21" s="804"/>
      <c r="M21" s="804"/>
      <c r="N21" s="804"/>
      <c r="O21" s="804"/>
      <c r="P21" s="804"/>
      <c r="Q21" s="804"/>
      <c r="R21" s="804"/>
      <c r="S21" s="804"/>
      <c r="T21" s="804"/>
      <c r="U21" s="804"/>
      <c r="V21" s="804"/>
      <c r="W21" s="804"/>
      <c r="X21" s="802"/>
      <c r="Y21" s="802"/>
      <c r="Z21" s="802"/>
      <c r="AA21" s="802"/>
      <c r="AB21" s="802"/>
      <c r="AC21" s="802"/>
      <c r="AD21" s="802"/>
      <c r="AE21" s="802"/>
      <c r="AF21" s="802"/>
      <c r="AG21" s="802"/>
      <c r="AH21" s="802"/>
      <c r="AI21" s="802"/>
      <c r="AJ21" s="802"/>
      <c r="AK21" s="802"/>
      <c r="AL21" s="802"/>
      <c r="AM21" s="802"/>
      <c r="AN21" s="802"/>
      <c r="AO21" s="802"/>
      <c r="AP21" s="802"/>
      <c r="AQ21" s="802"/>
      <c r="AR21" s="802"/>
      <c r="AS21" s="802"/>
      <c r="AT21" s="802"/>
      <c r="AU21" s="802"/>
      <c r="AV21" s="802"/>
      <c r="AW21" s="802"/>
      <c r="AX21" s="802"/>
      <c r="AY21" s="802"/>
      <c r="AZ21" s="802"/>
      <c r="BA21" s="802"/>
      <c r="BB21" s="802"/>
      <c r="BC21" s="802"/>
      <c r="BD21" s="802"/>
      <c r="BE21" s="802"/>
      <c r="BF21" s="802"/>
      <c r="BG21" s="802"/>
      <c r="BH21" s="802"/>
      <c r="BI21" s="802"/>
      <c r="BJ21" s="802"/>
      <c r="BK21" s="802"/>
    </row>
    <row r="22" spans="1:63" s="802" customFormat="1" x14ac:dyDescent="0.2">
      <c r="A22" s="804"/>
      <c r="B22" s="804"/>
      <c r="C22" s="804"/>
      <c r="D22" s="804"/>
      <c r="E22" s="804"/>
      <c r="F22" s="842"/>
      <c r="G22" s="804"/>
      <c r="H22" s="804"/>
      <c r="I22" s="804"/>
      <c r="J22" s="804"/>
      <c r="K22" s="804"/>
      <c r="L22" s="804"/>
      <c r="M22" s="804"/>
      <c r="N22" s="804"/>
      <c r="O22" s="804"/>
      <c r="P22" s="804"/>
      <c r="Q22" s="804"/>
      <c r="R22" s="804"/>
      <c r="S22" s="804"/>
      <c r="T22" s="804"/>
      <c r="U22" s="804"/>
      <c r="V22" s="804"/>
      <c r="W22" s="804"/>
    </row>
    <row r="23" spans="1:63" s="810" customFormat="1" x14ac:dyDescent="0.2">
      <c r="A23" s="893"/>
      <c r="B23" s="860" t="s">
        <v>637</v>
      </c>
      <c r="C23" s="860"/>
      <c r="D23" s="860"/>
      <c r="E23" s="860"/>
      <c r="F23" s="860"/>
      <c r="G23" s="861"/>
      <c r="H23" s="861"/>
      <c r="I23" s="861"/>
      <c r="J23" s="861"/>
      <c r="K23" s="861"/>
      <c r="L23" s="861"/>
      <c r="M23" s="861"/>
      <c r="N23" s="861"/>
      <c r="O23" s="861"/>
      <c r="P23" s="861"/>
      <c r="Q23" s="861"/>
      <c r="R23" s="861"/>
      <c r="S23" s="861"/>
      <c r="T23" s="861"/>
      <c r="U23" s="861"/>
      <c r="V23" s="894"/>
      <c r="W23" s="804"/>
    </row>
    <row r="24" spans="1:63" s="802" customFormat="1" x14ac:dyDescent="0.2">
      <c r="A24" s="846"/>
      <c r="B24" s="846"/>
      <c r="C24" s="846"/>
      <c r="D24" s="846"/>
      <c r="E24" s="846"/>
      <c r="F24" s="847"/>
      <c r="G24" s="848"/>
      <c r="H24" s="849" t="s">
        <v>638</v>
      </c>
      <c r="I24" s="849"/>
      <c r="J24" s="849" t="s">
        <v>639</v>
      </c>
      <c r="K24" s="849"/>
      <c r="L24" s="804"/>
      <c r="M24" s="804"/>
      <c r="N24" s="804"/>
      <c r="O24" s="804"/>
      <c r="P24" s="804"/>
      <c r="Q24" s="804"/>
      <c r="R24" s="804"/>
      <c r="S24" s="804"/>
      <c r="T24" s="804"/>
      <c r="U24" s="804"/>
      <c r="V24" s="804"/>
      <c r="W24" s="804"/>
      <c r="X24" s="804"/>
    </row>
    <row r="25" spans="1:63" s="802" customFormat="1" x14ac:dyDescent="0.2">
      <c r="A25" s="804"/>
      <c r="B25" s="804"/>
      <c r="C25" s="845" t="s">
        <v>630</v>
      </c>
      <c r="D25" s="804"/>
      <c r="E25" s="804"/>
      <c r="F25" s="850"/>
      <c r="G25" s="851"/>
      <c r="H25" s="852">
        <f>AK6</f>
        <v>737263.74999999953</v>
      </c>
      <c r="I25" s="852"/>
      <c r="J25" s="853">
        <f>NPV(G20,G6:AJ6)</f>
        <v>304135.35227771039</v>
      </c>
      <c r="K25" s="854"/>
      <c r="L25" s="804"/>
      <c r="M25" s="804"/>
      <c r="N25" s="804"/>
      <c r="O25" s="804"/>
      <c r="P25" s="804"/>
      <c r="Q25" s="804"/>
      <c r="R25" s="804"/>
      <c r="S25" s="804"/>
      <c r="T25" s="804"/>
      <c r="U25" s="804"/>
      <c r="V25" s="804"/>
      <c r="W25" s="804"/>
      <c r="X25" s="804"/>
    </row>
    <row r="26" spans="1:63" s="802" customFormat="1" x14ac:dyDescent="0.2">
      <c r="A26" s="804"/>
      <c r="B26" s="804"/>
      <c r="C26" s="845" t="s">
        <v>633</v>
      </c>
      <c r="D26" s="804"/>
      <c r="E26" s="804"/>
      <c r="F26" s="850"/>
      <c r="G26" s="851"/>
      <c r="H26" s="852">
        <f>AK9</f>
        <v>505186.76809999999</v>
      </c>
      <c r="I26" s="852"/>
      <c r="J26" s="853">
        <f>NPV(G20,G9:AJ9)</f>
        <v>174405.75618770847</v>
      </c>
      <c r="K26" s="854"/>
      <c r="L26" s="804"/>
      <c r="M26" s="804"/>
      <c r="N26" s="804"/>
      <c r="O26" s="804"/>
      <c r="P26" s="804"/>
      <c r="Q26" s="804"/>
      <c r="R26" s="804"/>
      <c r="S26" s="804"/>
      <c r="T26" s="804"/>
      <c r="U26" s="804"/>
      <c r="V26" s="804"/>
      <c r="W26" s="804"/>
      <c r="X26" s="804"/>
    </row>
    <row r="27" spans="1:63" s="802" customFormat="1" x14ac:dyDescent="0.2">
      <c r="A27" s="804"/>
      <c r="B27" s="804"/>
      <c r="C27" s="845" t="s">
        <v>640</v>
      </c>
      <c r="D27" s="804"/>
      <c r="E27" s="804"/>
      <c r="F27" s="855"/>
      <c r="G27" s="856"/>
      <c r="H27" s="852">
        <f>AK14</f>
        <v>282985</v>
      </c>
      <c r="I27" s="852"/>
      <c r="J27" s="853">
        <f>NPV(G20,G14:AJ14)</f>
        <v>261151.76215196503</v>
      </c>
      <c r="K27" s="854"/>
      <c r="L27" s="804"/>
      <c r="M27" s="804"/>
      <c r="N27" s="804"/>
      <c r="O27" s="804"/>
      <c r="P27" s="804"/>
      <c r="Q27" s="804"/>
      <c r="R27" s="804"/>
      <c r="S27" s="804"/>
      <c r="T27" s="804"/>
      <c r="U27" s="804"/>
      <c r="V27" s="804"/>
      <c r="W27" s="804"/>
      <c r="X27" s="804"/>
    </row>
    <row r="28" spans="1:63" s="802" customFormat="1" x14ac:dyDescent="0.2">
      <c r="A28" s="804"/>
      <c r="B28" s="804"/>
      <c r="C28" s="845" t="s">
        <v>641</v>
      </c>
      <c r="D28" s="804"/>
      <c r="E28" s="804"/>
      <c r="F28" s="855"/>
      <c r="G28" s="856"/>
      <c r="H28" s="852">
        <f>AK17</f>
        <v>54164</v>
      </c>
      <c r="I28" s="852"/>
      <c r="J28" s="853">
        <f>NPV(G20,G17:AK17)</f>
        <v>12285.328090882269</v>
      </c>
      <c r="K28" s="854"/>
      <c r="L28" s="804"/>
      <c r="M28" s="804"/>
      <c r="N28" s="804"/>
      <c r="O28" s="804"/>
      <c r="P28" s="804"/>
      <c r="Q28" s="804"/>
      <c r="R28" s="804"/>
      <c r="S28" s="804"/>
      <c r="T28" s="804"/>
      <c r="U28" s="804"/>
      <c r="V28" s="804"/>
      <c r="W28" s="804"/>
      <c r="X28" s="804"/>
    </row>
    <row r="29" spans="1:63" s="802" customFormat="1" x14ac:dyDescent="0.2">
      <c r="A29" s="804"/>
      <c r="B29" s="804"/>
      <c r="C29" s="845" t="s">
        <v>635</v>
      </c>
      <c r="D29" s="804"/>
      <c r="E29" s="804"/>
      <c r="F29" s="857"/>
      <c r="G29" s="858"/>
      <c r="H29" s="852">
        <f>AK18</f>
        <v>3255.9818999997951</v>
      </c>
      <c r="I29" s="859"/>
      <c r="J29" s="853">
        <f>NPV(G20,G18:AJ18)</f>
        <v>-125060.33271113997</v>
      </c>
      <c r="K29" s="804"/>
      <c r="L29" s="804"/>
      <c r="M29" s="804"/>
      <c r="N29" s="804"/>
      <c r="O29" s="804"/>
      <c r="P29" s="804"/>
      <c r="Q29" s="804"/>
      <c r="R29" s="804"/>
      <c r="S29" s="804"/>
      <c r="T29" s="804"/>
      <c r="U29" s="804"/>
      <c r="V29" s="804"/>
      <c r="W29" s="804"/>
      <c r="X29" s="804"/>
    </row>
    <row r="30" spans="1:63" s="810" customFormat="1" x14ac:dyDescent="0.2">
      <c r="A30" s="893"/>
      <c r="B30" s="860" t="s">
        <v>642</v>
      </c>
      <c r="C30" s="860"/>
      <c r="D30" s="860"/>
      <c r="E30" s="860"/>
      <c r="F30" s="860"/>
      <c r="G30" s="860"/>
      <c r="H30" s="861"/>
      <c r="I30" s="861"/>
      <c r="J30" s="861"/>
      <c r="K30" s="861"/>
      <c r="L30" s="861"/>
      <c r="M30" s="861"/>
      <c r="N30" s="861"/>
      <c r="O30" s="861"/>
      <c r="P30" s="861"/>
      <c r="Q30" s="861"/>
      <c r="R30" s="861"/>
      <c r="S30" s="861"/>
      <c r="T30" s="861"/>
      <c r="U30" s="861"/>
      <c r="V30" s="861"/>
      <c r="W30" s="804"/>
      <c r="X30" s="804"/>
    </row>
    <row r="31" spans="1:63" s="810" customFormat="1" x14ac:dyDescent="0.2">
      <c r="F31" s="860"/>
      <c r="G31" s="860"/>
      <c r="H31" s="861"/>
      <c r="I31" s="861"/>
      <c r="J31" s="861"/>
      <c r="K31" s="861"/>
      <c r="L31" s="862"/>
      <c r="M31" s="862"/>
      <c r="N31" s="862"/>
      <c r="O31" s="862"/>
      <c r="P31" s="862"/>
      <c r="Q31" s="862"/>
      <c r="R31" s="862"/>
      <c r="S31" s="862"/>
      <c r="T31" s="862"/>
      <c r="U31" s="862"/>
      <c r="V31" s="862"/>
      <c r="W31" s="804"/>
      <c r="X31" s="804"/>
    </row>
    <row r="32" spans="1:63" s="802" customFormat="1" x14ac:dyDescent="0.2">
      <c r="F32" s="1054" t="s">
        <v>643</v>
      </c>
      <c r="G32" s="1055"/>
      <c r="H32" s="1055" t="s">
        <v>644</v>
      </c>
      <c r="I32" s="1055"/>
      <c r="J32" s="1055" t="s">
        <v>645</v>
      </c>
      <c r="K32" s="1056"/>
      <c r="L32" s="804"/>
      <c r="M32" s="804"/>
      <c r="N32" s="804"/>
      <c r="O32" s="804"/>
      <c r="P32" s="804"/>
      <c r="Q32" s="804"/>
      <c r="R32" s="804"/>
      <c r="S32" s="804"/>
      <c r="T32" s="804"/>
      <c r="U32" s="804"/>
      <c r="V32" s="804"/>
      <c r="W32" s="804"/>
      <c r="X32" s="804"/>
    </row>
    <row r="33" spans="1:24" s="802" customFormat="1" x14ac:dyDescent="0.2">
      <c r="A33" s="804"/>
      <c r="B33" s="804"/>
      <c r="C33" s="845" t="s">
        <v>646</v>
      </c>
      <c r="D33" s="804"/>
      <c r="E33" s="804"/>
      <c r="F33" s="1057">
        <f>NPV(G20,'Naudas plusma'!B64:AE64)</f>
        <v>-125060.33271113997</v>
      </c>
      <c r="G33" s="1058"/>
      <c r="H33" s="1058">
        <f>J29</f>
        <v>-125060.33271113997</v>
      </c>
      <c r="I33" s="1058"/>
      <c r="J33" s="1059">
        <f>H33/F33-1</f>
        <v>0</v>
      </c>
      <c r="K33" s="1060"/>
      <c r="L33" s="804"/>
      <c r="M33" s="804"/>
      <c r="N33" s="804"/>
      <c r="O33" s="804"/>
      <c r="P33" s="804"/>
      <c r="Q33" s="804"/>
      <c r="R33" s="804"/>
      <c r="S33" s="804"/>
      <c r="T33" s="804"/>
      <c r="U33" s="804"/>
      <c r="V33" s="804"/>
      <c r="W33" s="804"/>
      <c r="X33" s="804"/>
    </row>
    <row r="34" spans="1:24" s="865" customFormat="1" x14ac:dyDescent="0.2">
      <c r="A34" s="1052" t="s">
        <v>659</v>
      </c>
      <c r="B34" s="1052"/>
      <c r="C34" s="1052"/>
      <c r="D34" s="1052"/>
      <c r="E34" s="1052"/>
      <c r="F34" s="1052"/>
      <c r="G34" s="1052"/>
      <c r="H34" s="1052"/>
      <c r="I34" s="1052"/>
      <c r="J34" s="1052"/>
      <c r="K34" s="863">
        <v>-0.2</v>
      </c>
      <c r="L34" s="864"/>
      <c r="M34" s="864"/>
      <c r="N34" s="864"/>
      <c r="O34" s="864"/>
      <c r="P34" s="864"/>
      <c r="Q34" s="864"/>
      <c r="R34" s="864"/>
      <c r="S34" s="864"/>
      <c r="T34" s="864"/>
      <c r="U34" s="864"/>
      <c r="V34" s="864"/>
      <c r="W34" s="864"/>
    </row>
    <row r="35" spans="1:24" s="802" customFormat="1" x14ac:dyDescent="0.2">
      <c r="A35" s="893"/>
      <c r="B35" s="860"/>
      <c r="C35" s="860"/>
      <c r="D35" s="860"/>
      <c r="E35" s="860"/>
      <c r="F35" s="860"/>
      <c r="G35" s="860"/>
      <c r="H35" s="861"/>
      <c r="I35" s="861"/>
      <c r="J35" s="861"/>
      <c r="K35" s="861"/>
      <c r="L35" s="861"/>
      <c r="M35" s="861"/>
      <c r="N35" s="861"/>
      <c r="O35" s="861"/>
      <c r="P35" s="861"/>
      <c r="Q35" s="861"/>
      <c r="R35" s="861"/>
      <c r="S35" s="861"/>
      <c r="T35" s="861"/>
      <c r="U35" s="861"/>
      <c r="V35" s="861"/>
      <c r="W35" s="804"/>
    </row>
    <row r="37" spans="1:24" x14ac:dyDescent="0.2">
      <c r="G37" s="870"/>
    </row>
    <row r="38" spans="1:24" x14ac:dyDescent="0.2">
      <c r="G38" s="870"/>
    </row>
  </sheetData>
  <sheetProtection algorithmName="SHA-512" hashValue="qKjPC+y2v2VdrxvWcVy+sdSSwZYm7GUlQB02jmoiOvviOKXurcq3XQ8dOIVt0hlf8vHQY+IhRGofPs7ml4Pdlw==" saltValue="KQ35cosh2rWarBQT6PHqpw==" spinCount="100000" sheet="1" objects="1" scenarios="1"/>
  <mergeCells count="8">
    <mergeCell ref="A34:J34"/>
    <mergeCell ref="C3:E3"/>
    <mergeCell ref="F32:G32"/>
    <mergeCell ref="H32:I32"/>
    <mergeCell ref="J32:K32"/>
    <mergeCell ref="F33:G33"/>
    <mergeCell ref="H33:I33"/>
    <mergeCell ref="J33:K33"/>
  </mergeCells>
  <dataValidations count="1">
    <dataValidation type="decimal" allowBlank="1" showInputMessage="1" showErrorMessage="1" sqref="G20">
      <formula1>0</formula1>
      <formula2>100</formula2>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B13"/>
  <sheetViews>
    <sheetView workbookViewId="0">
      <selection activeCell="Q17" sqref="Q17"/>
    </sheetView>
  </sheetViews>
  <sheetFormatPr defaultColWidth="9.140625" defaultRowHeight="12.75" x14ac:dyDescent="0.2"/>
  <cols>
    <col min="1" max="1" width="33.42578125" style="112" customWidth="1"/>
    <col min="2" max="2" width="17.140625" style="112" customWidth="1"/>
    <col min="3" max="4" width="7.28515625" style="112" bestFit="1" customWidth="1"/>
    <col min="5" max="5" width="12.140625" style="112" bestFit="1" customWidth="1"/>
    <col min="6" max="22" width="7.28515625" style="112" bestFit="1" customWidth="1"/>
    <col min="23" max="36" width="5.28515625" style="112" bestFit="1" customWidth="1"/>
    <col min="37" max="16384" width="9.140625" style="112"/>
  </cols>
  <sheetData>
    <row r="1" spans="1:2" ht="18.75" x14ac:dyDescent="0.2">
      <c r="A1" s="1045" t="s">
        <v>558</v>
      </c>
      <c r="B1" s="1045"/>
    </row>
    <row r="3" spans="1:2" ht="15" customHeight="1" x14ac:dyDescent="0.2">
      <c r="A3" s="985" t="s">
        <v>545</v>
      </c>
      <c r="B3" s="985" t="s">
        <v>546</v>
      </c>
    </row>
    <row r="4" spans="1:2" ht="25.5" x14ac:dyDescent="0.2">
      <c r="A4" s="986" t="s">
        <v>547</v>
      </c>
      <c r="B4" s="986" t="str">
        <f>IF(AND('Naudas plusma'!B25&gt;=0,'Naudas plusma'!C25&gt;=0,'Naudas plusma'!D25&gt;=0,'Naudas plusma'!E25&gt;=0,'Naudas plusma'!F25&gt;=0,'Naudas plusma'!G25&gt;=0,'Naudas plusma'!H25&gt;=0,'Naudas plusma'!I25&gt;=0,'Naudas plusma'!J25&gt;=0,'Naudas plusma'!K25&gt;=0,'Naudas plusma'!L25&gt;=0,'Naudas plusma'!M25&gt;=0,'Naudas plusma'!N25&gt;=0,'Naudas plusma'!O25&gt;=0,'Naudas plusma'!P25&gt;=0,'Naudas plusma'!P25&gt;=0,'Naudas plusma'!Q25&gt;=0,'Naudas plusma'!R25&gt;=0,'Naudas plusma'!S25&gt;=0,'Naudas plusma'!T25&gt;=0,'Naudas plusma'!U25&gt;=0,'Naudas plusma'!V25&gt;=0,'Naudas plusma'!W25&gt;=0,'Naudas plusma'!X25&gt;=0,'Naudas plusma'!Y25&gt;=0,'Naudas plusma'!Z25&gt;=0,'Naudas plusma'!AA25&gt;=0,'Naudas plusma'!AB25&gt;=0,'Naudas plusma'!AC25&gt;=0,'Naudas plusma'!AD25&gt;=0,'Naudas plusma'!AE25&gt;=0,'Naudas plusma'!AF25&gt;=0,'Naudas plusma'!AG25&gt;=0,'Naudas plusma'!AH25&gt;=0,'Naudas plusma'!AI25&gt;=0), "Kritērijs izpildās", "Kritērijs neizpildās")</f>
        <v>Kritērijs izpildās</v>
      </c>
    </row>
    <row r="5" spans="1:2" ht="38.25" x14ac:dyDescent="0.2">
      <c r="A5" s="986" t="s">
        <v>548</v>
      </c>
      <c r="B5" s="986" t="str">
        <f>IF(AND('Ilgtermina saistibas'!B17&lt;='Ilgtermina saistibas'!B19,'Ilgtermina saistibas'!C17&lt;='Ilgtermina saistibas'!B19,'Ilgtermina saistibas'!D17&lt;='Ilgtermina saistibas'!B19,'Ilgtermina saistibas'!E17&lt;='Ilgtermina saistibas'!B19,'Ilgtermina saistibas'!F17&lt;='Ilgtermina saistibas'!B19,'Ilgtermina saistibas'!G17&lt;='Ilgtermina saistibas'!B19,'Ilgtermina saistibas'!H17&lt;='Ilgtermina saistibas'!B19,'Ilgtermina saistibas'!I17&lt;='Ilgtermina saistibas'!B19,'Ilgtermina saistibas'!J17&lt;='Ilgtermina saistibas'!B19,'Ilgtermina saistibas'!K17&lt;='Ilgtermina saistibas'!B19,'Ilgtermina saistibas'!L17&lt;='Ilgtermina saistibas'!B19,'Ilgtermina saistibas'!M17&lt;='Ilgtermina saistibas'!B19,'Ilgtermina saistibas'!N17&lt;='Ilgtermina saistibas'!B19,'Ilgtermina saistibas'!O17&lt;='Ilgtermina saistibas'!B19,'Ilgtermina saistibas'!P17&lt;='Ilgtermina saistibas'!B19,'Ilgtermina saistibas'!Q17&lt;='Ilgtermina saistibas'!B19,'Ilgtermina saistibas'!R17&lt;='Ilgtermina saistibas'!B19,'Ilgtermina saistibas'!S17&lt;='Ilgtermina saistibas'!B19,'Ilgtermina saistibas'!T17&lt;='Ilgtermina saistibas'!B19,'Ilgtermina saistibas'!U17&lt;='Ilgtermina saistibas'!B19,'Ilgtermina saistibas'!V17&lt;='Ilgtermina saistibas'!B19,'Ilgtermina saistibas'!W17&lt;='Ilgtermina saistibas'!B19,'Ilgtermina saistibas'!X17&lt;='Ilgtermina saistibas'!B19,'Ilgtermina saistibas'!Y17&lt;='Ilgtermina saistibas'!B19,'Ilgtermina saistibas'!Z17&lt;='Ilgtermina saistibas'!B19,'Ilgtermina saistibas'!AA17&lt;='Ilgtermina saistibas'!B19,'Ilgtermina saistibas'!AB17&lt;='Ilgtermina saistibas'!B19,'Ilgtermina saistibas'!AC17&lt;='Ilgtermina saistibas'!B19,'Ilgtermina saistibas'!AD17&lt;='Ilgtermina saistibas'!B19,'Ilgtermina saistibas'!AE17&lt;='Ilgtermina saistibas'!B19,'Ilgtermina saistibas'!AF17&lt;='Ilgtermina saistibas'!B19,'Ilgtermina saistibas'!AG17&lt;='Ilgtermina saistibas'!B19,'Ilgtermina saistibas'!AH17&lt;='Ilgtermina saistibas'!B19,'Ilgtermina saistibas'!AI17&lt;='Ilgtermina saistibas'!B19),"Kritērijs izpildās","Kritērijs neizpildās")</f>
        <v>Kritērijs izpildās</v>
      </c>
    </row>
    <row r="6" spans="1:2" ht="51" x14ac:dyDescent="0.2">
      <c r="A6" s="986" t="s">
        <v>549</v>
      </c>
      <c r="B6" s="986" t="str">
        <f>IF(AND('Iedzivotaju maksatspeja'!B15&lt;='Iedzivotaju maksatspeja'!B29,'Iedzivotaju maksatspeja'!C15&lt;='Iedzivotaju maksatspeja'!B29,'Iedzivotaju maksatspeja'!D15&lt;='Iedzivotaju maksatspeja'!B29,'Iedzivotaju maksatspeja'!E15&lt;='Iedzivotaju maksatspeja'!B29,'Iedzivotaju maksatspeja'!F15&lt;='Iedzivotaju maksatspeja'!B29,'Iedzivotaju maksatspeja'!G15&lt;='Iedzivotaju maksatspeja'!B29,'Iedzivotaju maksatspeja'!H15&lt;='Iedzivotaju maksatspeja'!B29,'Iedzivotaju maksatspeja'!I15&lt;='Iedzivotaju maksatspeja'!B29,'Iedzivotaju maksatspeja'!J15&lt;='Iedzivotaju maksatspeja'!B29,'Iedzivotaju maksatspeja'!K15&lt;='Iedzivotaju maksatspeja'!B29,'Iedzivotaju maksatspeja'!L15&lt;='Iedzivotaju maksatspeja'!B29,'Iedzivotaju maksatspeja'!M15&lt;='Iedzivotaju maksatspeja'!B29,'Iedzivotaju maksatspeja'!N15&lt;='Iedzivotaju maksatspeja'!B29,'Iedzivotaju maksatspeja'!O15&lt;='Iedzivotaju maksatspeja'!B29,'Iedzivotaju maksatspeja'!P15&lt;='Iedzivotaju maksatspeja'!B29,'Iedzivotaju maksatspeja'!P15&lt;='Iedzivotaju maksatspeja'!B29,'Iedzivotaju maksatspeja'!Q15&lt;='Iedzivotaju maksatspeja'!B29,'Iedzivotaju maksatspeja'!R15&lt;='Iedzivotaju maksatspeja'!B29,'Iedzivotaju maksatspeja'!S15&lt;='Iedzivotaju maksatspeja'!B29,'Iedzivotaju maksatspeja'!T15&lt;='Iedzivotaju maksatspeja'!B29,'Iedzivotaju maksatspeja'!U15&lt;='Iedzivotaju maksatspeja'!B29,'Iedzivotaju maksatspeja'!V15&lt;='Iedzivotaju maksatspeja'!B29,'Iedzivotaju maksatspeja'!W15&lt;='Iedzivotaju maksatspeja'!B29,'Iedzivotaju maksatspeja'!X15&lt;='Iedzivotaju maksatspeja'!B29,'Iedzivotaju maksatspeja'!Y15&lt;='Iedzivotaju maksatspeja'!B29,'Iedzivotaju maksatspeja'!Z15&lt;='Iedzivotaju maksatspeja'!B29,'Iedzivotaju maksatspeja'!AA15&lt;='Iedzivotaju maksatspeja'!B29,'Iedzivotaju maksatspeja'!AB15&lt;='Iedzivotaju maksatspeja'!B29,'Iedzivotaju maksatspeja'!AC15&lt;='Iedzivotaju maksatspeja'!B29,'Iedzivotaju maksatspeja'!AD15&lt;='Iedzivotaju maksatspeja'!B29,'Iedzivotaju maksatspeja'!AE15&lt;='Iedzivotaju maksatspeja'!B29,'Iedzivotaju maksatspeja'!AF15&lt;='Iedzivotaju maksatspeja'!B29,'Iedzivotaju maksatspeja'!AG15&lt;='Iedzivotaju maksatspeja'!B29,'Iedzivotaju maksatspeja'!AH15&lt;='Iedzivotaju maksatspeja'!B29,'Iedzivotaju maksatspeja'!AI15&lt;='Iedzivotaju maksatspeja'!B29),"Kritērijs izpildās","Kritērijs neizpildās")</f>
        <v>Kritērijs izpildās</v>
      </c>
    </row>
    <row r="7" spans="1:2" ht="25.5" x14ac:dyDescent="0.2">
      <c r="A7" s="986" t="s">
        <v>550</v>
      </c>
      <c r="B7" s="987">
        <f>ROUND((SUM('Datu ievade'!B84:H84)+SUM('Datu ievade'!B92:H92))/Līdzfinansējums!C9,6)</f>
        <v>0</v>
      </c>
    </row>
    <row r="9" spans="1:2" x14ac:dyDescent="0.2">
      <c r="A9" s="985" t="s">
        <v>554</v>
      </c>
      <c r="B9" s="985" t="s">
        <v>555</v>
      </c>
    </row>
    <row r="10" spans="1:2" ht="51" x14ac:dyDescent="0.2">
      <c r="A10" s="986" t="s">
        <v>552</v>
      </c>
      <c r="B10" s="988">
        <f>(MAX('Iedzivotaju maksatspeja'!B15:AI15))</f>
        <v>2.8628600000000001E-2</v>
      </c>
    </row>
    <row r="11" spans="1:2" ht="42" customHeight="1" x14ac:dyDescent="0.2">
      <c r="A11" s="986" t="s">
        <v>553</v>
      </c>
      <c r="B11" s="988">
        <f>MIN('Iedzivotaju maksatspeja'!B15:AI15)</f>
        <v>2.1602315315315316E-2</v>
      </c>
    </row>
    <row r="12" spans="1:2" ht="38.25" x14ac:dyDescent="0.2">
      <c r="A12" s="986" t="s">
        <v>556</v>
      </c>
      <c r="B12" s="306">
        <f>ROUND(SUM('Datu ievade'!B144:AI144)/('Datu ievade'!$AI$142-'Datu ievade'!$B$15+1),2)</f>
        <v>1.03</v>
      </c>
    </row>
    <row r="13" spans="1:2" ht="38.25" x14ac:dyDescent="0.2">
      <c r="A13" s="986" t="s">
        <v>557</v>
      </c>
      <c r="B13" s="306">
        <f>ROUND(SUM('Datu ievade'!B145:AI145)/('Datu ievade'!$AI$142-'Datu ievade'!$B$15+1),2)</f>
        <v>0.31</v>
      </c>
    </row>
  </sheetData>
  <sheetProtection algorithmName="SHA-512" hashValue="3Z8wplFuEx1LzgCe8+1hNr8k4lDVQ1GDx1LZAyfH4zRO07waj7FRMDV09u3jcBXfe6HaEhqcc87MuELpCXQYOw==" saltValue="XTJzv2lz5Fs8HWw6cgluwA==" spinCount="100000" sheet="1" objects="1" scenarios="1"/>
  <mergeCells count="1">
    <mergeCell ref="A1:B1"/>
  </mergeCells>
  <conditionalFormatting sqref="B4">
    <cfRule type="cellIs" dxfId="2" priority="3" operator="equal">
      <formula>"Kritērijs neizpildās"</formula>
    </cfRule>
  </conditionalFormatting>
  <conditionalFormatting sqref="B5">
    <cfRule type="cellIs" dxfId="1" priority="2" operator="equal">
      <formula>"Kritērijs neizpildās"</formula>
    </cfRule>
  </conditionalFormatting>
  <conditionalFormatting sqref="B6">
    <cfRule type="cellIs" dxfId="0" priority="1" operator="equal">
      <formula>"Kritērijs neizpildās"</formula>
    </cfRule>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39997558519241921"/>
  </sheetPr>
  <dimension ref="B2:AL84"/>
  <sheetViews>
    <sheetView workbookViewId="0">
      <selection sqref="A1:XFD1048576"/>
    </sheetView>
  </sheetViews>
  <sheetFormatPr defaultColWidth="9.140625" defaultRowHeight="11.25" x14ac:dyDescent="0.2"/>
  <cols>
    <col min="1" max="1" width="2.28515625" style="305" customWidth="1"/>
    <col min="2" max="2" width="37" style="305" bestFit="1" customWidth="1"/>
    <col min="3" max="3" width="7.85546875" style="305" bestFit="1" customWidth="1"/>
    <col min="4" max="37" width="10" style="305" bestFit="1" customWidth="1"/>
    <col min="38" max="16384" width="9.140625" style="305"/>
  </cols>
  <sheetData>
    <row r="2" spans="2:37" s="770" customFormat="1" x14ac:dyDescent="0.2">
      <c r="C2" s="770">
        <f>'Datu ievade'!B13</f>
        <v>2019</v>
      </c>
      <c r="D2" s="770">
        <f>C2+1</f>
        <v>2020</v>
      </c>
      <c r="E2" s="770">
        <f>D2+1</f>
        <v>2021</v>
      </c>
      <c r="F2" s="770">
        <f t="shared" ref="F2:AI2" si="0">E2+1</f>
        <v>2022</v>
      </c>
      <c r="G2" s="770">
        <f t="shared" si="0"/>
        <v>2023</v>
      </c>
      <c r="H2" s="770">
        <f t="shared" si="0"/>
        <v>2024</v>
      </c>
      <c r="I2" s="770">
        <f t="shared" si="0"/>
        <v>2025</v>
      </c>
      <c r="J2" s="770">
        <f t="shared" si="0"/>
        <v>2026</v>
      </c>
      <c r="K2" s="770">
        <f t="shared" si="0"/>
        <v>2027</v>
      </c>
      <c r="L2" s="770">
        <f t="shared" si="0"/>
        <v>2028</v>
      </c>
      <c r="M2" s="770">
        <f t="shared" si="0"/>
        <v>2029</v>
      </c>
      <c r="N2" s="770">
        <f t="shared" si="0"/>
        <v>2030</v>
      </c>
      <c r="O2" s="770">
        <f t="shared" si="0"/>
        <v>2031</v>
      </c>
      <c r="P2" s="770">
        <f t="shared" si="0"/>
        <v>2032</v>
      </c>
      <c r="Q2" s="770">
        <f t="shared" si="0"/>
        <v>2033</v>
      </c>
      <c r="R2" s="770">
        <f t="shared" si="0"/>
        <v>2034</v>
      </c>
      <c r="S2" s="770">
        <f t="shared" si="0"/>
        <v>2035</v>
      </c>
      <c r="T2" s="770">
        <f t="shared" si="0"/>
        <v>2036</v>
      </c>
      <c r="U2" s="770">
        <f t="shared" si="0"/>
        <v>2037</v>
      </c>
      <c r="V2" s="770">
        <f t="shared" si="0"/>
        <v>2038</v>
      </c>
      <c r="W2" s="770">
        <f t="shared" si="0"/>
        <v>2039</v>
      </c>
      <c r="X2" s="770">
        <f t="shared" si="0"/>
        <v>2040</v>
      </c>
      <c r="Y2" s="770">
        <f t="shared" si="0"/>
        <v>2041</v>
      </c>
      <c r="Z2" s="770">
        <f t="shared" si="0"/>
        <v>2042</v>
      </c>
      <c r="AA2" s="770">
        <f t="shared" si="0"/>
        <v>2043</v>
      </c>
      <c r="AB2" s="770">
        <f t="shared" si="0"/>
        <v>2044</v>
      </c>
      <c r="AC2" s="770">
        <f t="shared" si="0"/>
        <v>2045</v>
      </c>
      <c r="AD2" s="770">
        <f t="shared" si="0"/>
        <v>2046</v>
      </c>
      <c r="AE2" s="770">
        <f t="shared" si="0"/>
        <v>2047</v>
      </c>
      <c r="AF2" s="770">
        <f t="shared" si="0"/>
        <v>2048</v>
      </c>
      <c r="AG2" s="770">
        <f t="shared" si="0"/>
        <v>2049</v>
      </c>
      <c r="AH2" s="770">
        <f t="shared" si="0"/>
        <v>2050</v>
      </c>
      <c r="AI2" s="770">
        <f t="shared" si="0"/>
        <v>2051</v>
      </c>
      <c r="AJ2" s="770">
        <f>AI2+1</f>
        <v>2052</v>
      </c>
      <c r="AK2" s="770">
        <f>AJ2+1</f>
        <v>2053</v>
      </c>
    </row>
    <row r="3" spans="2:37" x14ac:dyDescent="0.2">
      <c r="B3" s="305" t="s">
        <v>367</v>
      </c>
      <c r="C3" s="305">
        <f>IF(C2&lt;'Datu ievade'!$B$15,1,0)</f>
        <v>1</v>
      </c>
      <c r="D3" s="305">
        <f>IF(D2&lt;'Datu ievade'!$B$15,1,0)</f>
        <v>1</v>
      </c>
      <c r="E3" s="305">
        <f>IF(E2&lt;'Datu ievade'!$B$15,1,0)</f>
        <v>1</v>
      </c>
      <c r="F3" s="305">
        <f>IF(F2&lt;'Datu ievade'!$B$15,1,0)</f>
        <v>0</v>
      </c>
      <c r="G3" s="305">
        <f>IF(G2&lt;'Datu ievade'!$B$15,1,0)</f>
        <v>0</v>
      </c>
      <c r="H3" s="305">
        <f>IF(H2&lt;'Datu ievade'!$B$15,1,0)</f>
        <v>0</v>
      </c>
      <c r="I3" s="305">
        <f>IF(I2&lt;'Datu ievade'!$B$15,1,0)</f>
        <v>0</v>
      </c>
      <c r="J3" s="305">
        <f>IF(J2&lt;'Datu ievade'!$B$15,1,0)</f>
        <v>0</v>
      </c>
      <c r="K3" s="305">
        <f>IF(K2&lt;'Datu ievade'!$B$15,1,0)</f>
        <v>0</v>
      </c>
      <c r="L3" s="305">
        <f>IF(L2&lt;'Datu ievade'!$B$15,1,0)</f>
        <v>0</v>
      </c>
      <c r="M3" s="305">
        <f>IF(M2&lt;'Datu ievade'!$B$15,1,0)</f>
        <v>0</v>
      </c>
      <c r="N3" s="305">
        <f>IF(N2&lt;'Datu ievade'!$B$15,1,0)</f>
        <v>0</v>
      </c>
      <c r="O3" s="305">
        <f>IF(O2&lt;'Datu ievade'!$B$15,1,0)</f>
        <v>0</v>
      </c>
      <c r="P3" s="305">
        <f>IF(P2&lt;'Datu ievade'!$B$15,1,0)</f>
        <v>0</v>
      </c>
      <c r="Q3" s="305">
        <f>IF(Q2&lt;'Datu ievade'!$B$15,1,0)</f>
        <v>0</v>
      </c>
      <c r="R3" s="305">
        <f>IF(R2&lt;'Datu ievade'!$B$15,1,0)</f>
        <v>0</v>
      </c>
      <c r="S3" s="305">
        <f>IF(S2&lt;'Datu ievade'!$B$15,1,0)</f>
        <v>0</v>
      </c>
      <c r="T3" s="305">
        <f>IF(T2&lt;'Datu ievade'!$B$15,1,0)</f>
        <v>0</v>
      </c>
      <c r="U3" s="305">
        <f>IF(U2&lt;'Datu ievade'!$B$15,1,0)</f>
        <v>0</v>
      </c>
      <c r="V3" s="305">
        <f>IF(V2&lt;'Datu ievade'!$B$15,1,0)</f>
        <v>0</v>
      </c>
      <c r="W3" s="305">
        <f>IF(W2&lt;'Datu ievade'!$B$15,1,0)</f>
        <v>0</v>
      </c>
      <c r="X3" s="305">
        <f>IF(X2&lt;'Datu ievade'!$B$15,1,0)</f>
        <v>0</v>
      </c>
      <c r="Y3" s="305">
        <f>IF(Y2&lt;'Datu ievade'!$B$15,1,0)</f>
        <v>0</v>
      </c>
      <c r="Z3" s="305">
        <f>IF(Z2&lt;'Datu ievade'!$B$15,1,0)</f>
        <v>0</v>
      </c>
      <c r="AA3" s="305">
        <f>IF(AA2&lt;'Datu ievade'!$B$15,1,0)</f>
        <v>0</v>
      </c>
      <c r="AB3" s="305">
        <f>IF(AB2&lt;'Datu ievade'!$B$15,1,0)</f>
        <v>0</v>
      </c>
      <c r="AC3" s="305">
        <f>IF(AC2&lt;'Datu ievade'!$B$15,1,0)</f>
        <v>0</v>
      </c>
      <c r="AD3" s="305">
        <f>IF(AD2&lt;'Datu ievade'!$B$15,1,0)</f>
        <v>0</v>
      </c>
      <c r="AE3" s="305">
        <f>IF(AE2&lt;'Datu ievade'!$B$15,1,0)</f>
        <v>0</v>
      </c>
      <c r="AF3" s="305">
        <f>IF(AF2&lt;'Datu ievade'!$B$15,1,0)</f>
        <v>0</v>
      </c>
      <c r="AG3" s="305">
        <f>IF(AG2&lt;'Datu ievade'!$B$15,1,0)</f>
        <v>0</v>
      </c>
      <c r="AH3" s="305">
        <f>IF(AH2&lt;'Datu ievade'!$B$15,1,0)</f>
        <v>0</v>
      </c>
      <c r="AI3" s="305">
        <f>IF(AI2&lt;'Datu ievade'!$B$15,1,0)</f>
        <v>0</v>
      </c>
      <c r="AJ3" s="305">
        <f>IF(AJ2&lt;'Datu ievade'!$B$15,1,0)</f>
        <v>0</v>
      </c>
      <c r="AK3" s="305">
        <f>IF(AK2&lt;'Datu ievade'!$B$15,1,0)</f>
        <v>0</v>
      </c>
    </row>
    <row r="4" spans="2:37" x14ac:dyDescent="0.2">
      <c r="B4" s="305" t="s">
        <v>366</v>
      </c>
      <c r="C4" s="305">
        <f>IF(C2&gt;'Datu ievade'!$B$15-1,1,0)</f>
        <v>0</v>
      </c>
      <c r="D4" s="305">
        <f>IF(D2&gt;'Datu ievade'!$B$15-1,1,0)</f>
        <v>0</v>
      </c>
      <c r="E4" s="305">
        <f>IF(E2&gt;'Datu ievade'!$B$15-1,1,0)</f>
        <v>0</v>
      </c>
      <c r="F4" s="305">
        <f>IF(F2&gt;'Datu ievade'!$B$15-1,1,0)</f>
        <v>1</v>
      </c>
      <c r="G4" s="305">
        <f>IF(G2&gt;'Datu ievade'!$B$15-1,1,0)</f>
        <v>1</v>
      </c>
      <c r="H4" s="305">
        <f>IF(H2&gt;'Datu ievade'!$B$15-1,1,0)</f>
        <v>1</v>
      </c>
      <c r="I4" s="305">
        <f>IF(I2&gt;'Datu ievade'!$B$15-1,1,0)</f>
        <v>1</v>
      </c>
      <c r="J4" s="305">
        <f>IF(J2&gt;'Datu ievade'!$B$15-1,1,0)</f>
        <v>1</v>
      </c>
      <c r="K4" s="305">
        <f>IF(K2&gt;'Datu ievade'!$B$15-1,1,0)</f>
        <v>1</v>
      </c>
      <c r="L4" s="305">
        <f>IF(L2&gt;'Datu ievade'!$B$15-1,1,0)</f>
        <v>1</v>
      </c>
      <c r="M4" s="305">
        <f>IF(M2&gt;'Datu ievade'!$B$15-1,1,0)</f>
        <v>1</v>
      </c>
      <c r="N4" s="305">
        <f>IF(N2&gt;'Datu ievade'!$B$15-1,1,0)</f>
        <v>1</v>
      </c>
      <c r="O4" s="305">
        <f>IF(O2&gt;'Datu ievade'!$B$15-1,1,0)</f>
        <v>1</v>
      </c>
      <c r="P4" s="305">
        <f>IF(P2&gt;'Datu ievade'!$B$15-1,1,0)</f>
        <v>1</v>
      </c>
      <c r="Q4" s="305">
        <f>IF(Q2&gt;'Datu ievade'!$B$15-1,1,0)</f>
        <v>1</v>
      </c>
      <c r="R4" s="305">
        <f>IF(R2&gt;'Datu ievade'!$B$15-1,1,0)</f>
        <v>1</v>
      </c>
      <c r="S4" s="305">
        <f>IF(S2&gt;'Datu ievade'!$B$15-1,1,0)</f>
        <v>1</v>
      </c>
      <c r="T4" s="305">
        <f>IF(T2&gt;'Datu ievade'!$B$15-1,1,0)</f>
        <v>1</v>
      </c>
      <c r="U4" s="305">
        <f>IF(U2&gt;'Datu ievade'!$B$15-1,1,0)</f>
        <v>1</v>
      </c>
      <c r="V4" s="305">
        <f>IF(V2&gt;'Datu ievade'!$B$15-1,1,0)</f>
        <v>1</v>
      </c>
      <c r="W4" s="305">
        <f>IF(W2&gt;'Datu ievade'!$B$15-1,1,0)</f>
        <v>1</v>
      </c>
      <c r="X4" s="305">
        <f>IF(X2&gt;'Datu ievade'!$B$15-1,1,0)</f>
        <v>1</v>
      </c>
      <c r="Y4" s="305">
        <f>IF(Y2&gt;'Datu ievade'!$B$15-1,1,0)</f>
        <v>1</v>
      </c>
      <c r="Z4" s="305">
        <f>IF(Z2&gt;'Datu ievade'!$B$15-1,1,0)</f>
        <v>1</v>
      </c>
      <c r="AA4" s="305">
        <f>IF(AA2&gt;'Datu ievade'!$B$15-1,1,0)</f>
        <v>1</v>
      </c>
      <c r="AB4" s="305">
        <f>IF(AB2&gt;'Datu ievade'!$B$15-1,1,0)</f>
        <v>1</v>
      </c>
      <c r="AC4" s="305">
        <f>IF(AC2&gt;'Datu ievade'!$B$15-1,1,0)</f>
        <v>1</v>
      </c>
      <c r="AD4" s="305">
        <f>IF(AD2&gt;'Datu ievade'!$B$15-1,1,0)</f>
        <v>1</v>
      </c>
      <c r="AE4" s="305">
        <f>IF(AE2&gt;'Datu ievade'!$B$15-1,1,0)</f>
        <v>1</v>
      </c>
      <c r="AF4" s="305">
        <f>IF(AF2&gt;'Datu ievade'!$B$15-1,1,0)</f>
        <v>1</v>
      </c>
      <c r="AG4" s="305">
        <f>IF(AG2&gt;'Datu ievade'!$B$15-1,1,0)</f>
        <v>1</v>
      </c>
      <c r="AH4" s="305">
        <f>IF(AH2&gt;'Datu ievade'!$B$15-1,1,0)</f>
        <v>1</v>
      </c>
      <c r="AI4" s="305">
        <f>IF(AI2&gt;'Datu ievade'!$B$15-1,1,0)</f>
        <v>1</v>
      </c>
      <c r="AJ4" s="305">
        <f>IF(AJ2&gt;'Datu ievade'!$B$15-1,1,0)</f>
        <v>1</v>
      </c>
      <c r="AK4" s="305">
        <f>IF(AK2&gt;'Datu ievade'!$B$15-1,1,0)</f>
        <v>1</v>
      </c>
    </row>
    <row r="6" spans="2:37" s="283" customFormat="1" x14ac:dyDescent="0.2">
      <c r="B6" s="48" t="s">
        <v>332</v>
      </c>
      <c r="C6" s="671">
        <f>'Datu ievade'!B80</f>
        <v>9900</v>
      </c>
      <c r="D6" s="671">
        <f>'Datu ievade'!C80</f>
        <v>9900</v>
      </c>
      <c r="E6" s="671">
        <f>'Datu ievade'!D80</f>
        <v>9900</v>
      </c>
      <c r="F6" s="671">
        <f>'Datu ievade'!E80</f>
        <v>10000</v>
      </c>
      <c r="G6" s="671">
        <f>'Datu ievade'!F80</f>
        <v>10000</v>
      </c>
      <c r="H6" s="671">
        <f>'Datu ievade'!G80</f>
        <v>10000</v>
      </c>
      <c r="I6" s="671">
        <f>'Datu ievade'!H80</f>
        <v>10000</v>
      </c>
      <c r="J6" s="671">
        <f>I6</f>
        <v>10000</v>
      </c>
      <c r="K6" s="671">
        <f t="shared" ref="K6:AK6" si="1">J6</f>
        <v>10000</v>
      </c>
      <c r="L6" s="671">
        <f t="shared" si="1"/>
        <v>10000</v>
      </c>
      <c r="M6" s="671">
        <f t="shared" si="1"/>
        <v>10000</v>
      </c>
      <c r="N6" s="671">
        <f t="shared" si="1"/>
        <v>10000</v>
      </c>
      <c r="O6" s="671">
        <f t="shared" si="1"/>
        <v>10000</v>
      </c>
      <c r="P6" s="671">
        <f t="shared" si="1"/>
        <v>10000</v>
      </c>
      <c r="Q6" s="671">
        <f t="shared" si="1"/>
        <v>10000</v>
      </c>
      <c r="R6" s="671">
        <f t="shared" si="1"/>
        <v>10000</v>
      </c>
      <c r="S6" s="671">
        <f t="shared" si="1"/>
        <v>10000</v>
      </c>
      <c r="T6" s="671">
        <f t="shared" si="1"/>
        <v>10000</v>
      </c>
      <c r="U6" s="671">
        <f t="shared" si="1"/>
        <v>10000</v>
      </c>
      <c r="V6" s="671">
        <f t="shared" si="1"/>
        <v>10000</v>
      </c>
      <c r="W6" s="671">
        <f t="shared" si="1"/>
        <v>10000</v>
      </c>
      <c r="X6" s="671">
        <f t="shared" si="1"/>
        <v>10000</v>
      </c>
      <c r="Y6" s="671">
        <f t="shared" si="1"/>
        <v>10000</v>
      </c>
      <c r="Z6" s="671">
        <f t="shared" si="1"/>
        <v>10000</v>
      </c>
      <c r="AA6" s="671">
        <f t="shared" si="1"/>
        <v>10000</v>
      </c>
      <c r="AB6" s="671">
        <f t="shared" si="1"/>
        <v>10000</v>
      </c>
      <c r="AC6" s="671">
        <f t="shared" si="1"/>
        <v>10000</v>
      </c>
      <c r="AD6" s="671">
        <f t="shared" si="1"/>
        <v>10000</v>
      </c>
      <c r="AE6" s="671">
        <f t="shared" si="1"/>
        <v>10000</v>
      </c>
      <c r="AF6" s="671">
        <f t="shared" si="1"/>
        <v>10000</v>
      </c>
      <c r="AG6" s="671">
        <f t="shared" si="1"/>
        <v>10000</v>
      </c>
      <c r="AH6" s="671">
        <f t="shared" si="1"/>
        <v>10000</v>
      </c>
      <c r="AI6" s="671">
        <f t="shared" si="1"/>
        <v>10000</v>
      </c>
      <c r="AJ6" s="671">
        <f t="shared" si="1"/>
        <v>10000</v>
      </c>
      <c r="AK6" s="671">
        <f t="shared" si="1"/>
        <v>10000</v>
      </c>
    </row>
    <row r="7" spans="2:37" x14ac:dyDescent="0.2">
      <c r="B7" s="32" t="s">
        <v>333</v>
      </c>
      <c r="C7" s="672">
        <f>'Datu ievade'!B81</f>
        <v>70</v>
      </c>
      <c r="D7" s="672">
        <f>'Datu ievade'!C81</f>
        <v>70</v>
      </c>
      <c r="E7" s="672">
        <f>'Datu ievade'!D81</f>
        <v>70</v>
      </c>
      <c r="F7" s="672">
        <f>'Datu ievade'!E81</f>
        <v>70</v>
      </c>
      <c r="G7" s="672">
        <f>'Datu ievade'!F81</f>
        <v>70</v>
      </c>
      <c r="H7" s="672">
        <f>'Datu ievade'!G81</f>
        <v>70</v>
      </c>
      <c r="I7" s="672">
        <f>'Datu ievade'!H81</f>
        <v>70</v>
      </c>
      <c r="J7" s="672">
        <f>I7</f>
        <v>70</v>
      </c>
      <c r="K7" s="672">
        <f t="shared" ref="K7:AK7" si="2">J7</f>
        <v>70</v>
      </c>
      <c r="L7" s="672">
        <f t="shared" si="2"/>
        <v>70</v>
      </c>
      <c r="M7" s="672">
        <f t="shared" si="2"/>
        <v>70</v>
      </c>
      <c r="N7" s="672">
        <f t="shared" si="2"/>
        <v>70</v>
      </c>
      <c r="O7" s="672">
        <f t="shared" si="2"/>
        <v>70</v>
      </c>
      <c r="P7" s="672">
        <f t="shared" si="2"/>
        <v>70</v>
      </c>
      <c r="Q7" s="672">
        <f t="shared" si="2"/>
        <v>70</v>
      </c>
      <c r="R7" s="672">
        <f t="shared" si="2"/>
        <v>70</v>
      </c>
      <c r="S7" s="672">
        <f t="shared" si="2"/>
        <v>70</v>
      </c>
      <c r="T7" s="672">
        <f t="shared" si="2"/>
        <v>70</v>
      </c>
      <c r="U7" s="672">
        <f t="shared" si="2"/>
        <v>70</v>
      </c>
      <c r="V7" s="672">
        <f t="shared" si="2"/>
        <v>70</v>
      </c>
      <c r="W7" s="672">
        <f t="shared" si="2"/>
        <v>70</v>
      </c>
      <c r="X7" s="672">
        <f t="shared" si="2"/>
        <v>70</v>
      </c>
      <c r="Y7" s="672">
        <f t="shared" si="2"/>
        <v>70</v>
      </c>
      <c r="Z7" s="672">
        <f t="shared" si="2"/>
        <v>70</v>
      </c>
      <c r="AA7" s="672">
        <f t="shared" si="2"/>
        <v>70</v>
      </c>
      <c r="AB7" s="672">
        <f t="shared" si="2"/>
        <v>70</v>
      </c>
      <c r="AC7" s="672">
        <f t="shared" si="2"/>
        <v>70</v>
      </c>
      <c r="AD7" s="672">
        <f t="shared" si="2"/>
        <v>70</v>
      </c>
      <c r="AE7" s="672">
        <f t="shared" si="2"/>
        <v>70</v>
      </c>
      <c r="AF7" s="672">
        <f t="shared" si="2"/>
        <v>70</v>
      </c>
      <c r="AG7" s="672">
        <f t="shared" si="2"/>
        <v>70</v>
      </c>
      <c r="AH7" s="672">
        <f t="shared" si="2"/>
        <v>70</v>
      </c>
      <c r="AI7" s="672">
        <f t="shared" si="2"/>
        <v>70</v>
      </c>
      <c r="AJ7" s="672">
        <f t="shared" si="2"/>
        <v>70</v>
      </c>
      <c r="AK7" s="672">
        <f t="shared" si="2"/>
        <v>70</v>
      </c>
    </row>
    <row r="8" spans="2:37" x14ac:dyDescent="0.2">
      <c r="B8" s="32" t="s">
        <v>334</v>
      </c>
      <c r="C8" s="672">
        <f>'Datu ievade'!B82</f>
        <v>39860</v>
      </c>
      <c r="D8" s="672">
        <f>'Datu ievade'!C82</f>
        <v>39860</v>
      </c>
      <c r="E8" s="672">
        <f>'Datu ievade'!D82</f>
        <v>39860</v>
      </c>
      <c r="F8" s="672">
        <f>'Datu ievade'!E82</f>
        <v>39860</v>
      </c>
      <c r="G8" s="672">
        <f>'Datu ievade'!F82</f>
        <v>39860</v>
      </c>
      <c r="H8" s="672">
        <f>'Datu ievade'!G82</f>
        <v>39860</v>
      </c>
      <c r="I8" s="672">
        <f>'Datu ievade'!H82</f>
        <v>39860</v>
      </c>
      <c r="J8" s="672">
        <f>I8</f>
        <v>39860</v>
      </c>
      <c r="K8" s="672">
        <f t="shared" ref="K8:AK8" si="3">J8</f>
        <v>39860</v>
      </c>
      <c r="L8" s="672">
        <f t="shared" si="3"/>
        <v>39860</v>
      </c>
      <c r="M8" s="672">
        <f t="shared" si="3"/>
        <v>39860</v>
      </c>
      <c r="N8" s="672">
        <f t="shared" si="3"/>
        <v>39860</v>
      </c>
      <c r="O8" s="672">
        <f t="shared" si="3"/>
        <v>39860</v>
      </c>
      <c r="P8" s="672">
        <f t="shared" si="3"/>
        <v>39860</v>
      </c>
      <c r="Q8" s="672">
        <f t="shared" si="3"/>
        <v>39860</v>
      </c>
      <c r="R8" s="672">
        <f t="shared" si="3"/>
        <v>39860</v>
      </c>
      <c r="S8" s="672">
        <f t="shared" si="3"/>
        <v>39860</v>
      </c>
      <c r="T8" s="672">
        <f t="shared" si="3"/>
        <v>39860</v>
      </c>
      <c r="U8" s="672">
        <f t="shared" si="3"/>
        <v>39860</v>
      </c>
      <c r="V8" s="672">
        <f t="shared" si="3"/>
        <v>39860</v>
      </c>
      <c r="W8" s="672">
        <f t="shared" si="3"/>
        <v>39860</v>
      </c>
      <c r="X8" s="672">
        <f t="shared" si="3"/>
        <v>39860</v>
      </c>
      <c r="Y8" s="672">
        <f t="shared" si="3"/>
        <v>39860</v>
      </c>
      <c r="Z8" s="672">
        <f t="shared" si="3"/>
        <v>39860</v>
      </c>
      <c r="AA8" s="672">
        <f t="shared" si="3"/>
        <v>39860</v>
      </c>
      <c r="AB8" s="672">
        <f t="shared" si="3"/>
        <v>39860</v>
      </c>
      <c r="AC8" s="672">
        <f t="shared" si="3"/>
        <v>39860</v>
      </c>
      <c r="AD8" s="672">
        <f t="shared" si="3"/>
        <v>39860</v>
      </c>
      <c r="AE8" s="672">
        <f t="shared" si="3"/>
        <v>39860</v>
      </c>
      <c r="AF8" s="672">
        <f t="shared" si="3"/>
        <v>39860</v>
      </c>
      <c r="AG8" s="672">
        <f t="shared" si="3"/>
        <v>39860</v>
      </c>
      <c r="AH8" s="672">
        <f t="shared" si="3"/>
        <v>39860</v>
      </c>
      <c r="AI8" s="672">
        <f t="shared" si="3"/>
        <v>39860</v>
      </c>
      <c r="AJ8" s="672">
        <f t="shared" si="3"/>
        <v>39860</v>
      </c>
      <c r="AK8" s="672">
        <f t="shared" si="3"/>
        <v>39860</v>
      </c>
    </row>
    <row r="9" spans="2:37" x14ac:dyDescent="0.2">
      <c r="B9" s="32" t="s">
        <v>335</v>
      </c>
      <c r="C9" s="672">
        <f>'Datu ievade'!B83</f>
        <v>52760</v>
      </c>
      <c r="D9" s="672">
        <f>'Datu ievade'!C83</f>
        <v>52760</v>
      </c>
      <c r="E9" s="672">
        <f>'Datu ievade'!D83</f>
        <v>52760</v>
      </c>
      <c r="F9" s="672">
        <f>'Datu ievade'!E83</f>
        <v>52760</v>
      </c>
      <c r="G9" s="672">
        <f>'Datu ievade'!F83</f>
        <v>52760</v>
      </c>
      <c r="H9" s="672">
        <f>'Datu ievade'!G83</f>
        <v>52760</v>
      </c>
      <c r="I9" s="672">
        <f>'Datu ievade'!H83</f>
        <v>52760</v>
      </c>
      <c r="J9" s="672">
        <f>I9</f>
        <v>52760</v>
      </c>
      <c r="K9" s="672">
        <f t="shared" ref="K9:AK9" si="4">J9</f>
        <v>52760</v>
      </c>
      <c r="L9" s="672">
        <f t="shared" si="4"/>
        <v>52760</v>
      </c>
      <c r="M9" s="672">
        <f t="shared" si="4"/>
        <v>52760</v>
      </c>
      <c r="N9" s="672">
        <f t="shared" si="4"/>
        <v>52760</v>
      </c>
      <c r="O9" s="672">
        <f t="shared" si="4"/>
        <v>52760</v>
      </c>
      <c r="P9" s="672">
        <f t="shared" si="4"/>
        <v>52760</v>
      </c>
      <c r="Q9" s="672">
        <f t="shared" si="4"/>
        <v>52760</v>
      </c>
      <c r="R9" s="672">
        <f t="shared" si="4"/>
        <v>52760</v>
      </c>
      <c r="S9" s="672">
        <f t="shared" si="4"/>
        <v>52760</v>
      </c>
      <c r="T9" s="672">
        <f t="shared" si="4"/>
        <v>52760</v>
      </c>
      <c r="U9" s="672">
        <f t="shared" si="4"/>
        <v>52760</v>
      </c>
      <c r="V9" s="672">
        <f t="shared" si="4"/>
        <v>52760</v>
      </c>
      <c r="W9" s="672">
        <f t="shared" si="4"/>
        <v>52760</v>
      </c>
      <c r="X9" s="672">
        <f t="shared" si="4"/>
        <v>52760</v>
      </c>
      <c r="Y9" s="672">
        <f t="shared" si="4"/>
        <v>52760</v>
      </c>
      <c r="Z9" s="672">
        <f t="shared" si="4"/>
        <v>52760</v>
      </c>
      <c r="AA9" s="672">
        <f t="shared" si="4"/>
        <v>52760</v>
      </c>
      <c r="AB9" s="672">
        <f t="shared" si="4"/>
        <v>52760</v>
      </c>
      <c r="AC9" s="672">
        <f t="shared" si="4"/>
        <v>52760</v>
      </c>
      <c r="AD9" s="672">
        <f t="shared" si="4"/>
        <v>52760</v>
      </c>
      <c r="AE9" s="672">
        <f t="shared" si="4"/>
        <v>52760</v>
      </c>
      <c r="AF9" s="672">
        <f t="shared" si="4"/>
        <v>52760</v>
      </c>
      <c r="AG9" s="672">
        <f t="shared" si="4"/>
        <v>52760</v>
      </c>
      <c r="AH9" s="672">
        <f t="shared" si="4"/>
        <v>52760</v>
      </c>
      <c r="AI9" s="672">
        <f t="shared" si="4"/>
        <v>52760</v>
      </c>
      <c r="AJ9" s="672">
        <f t="shared" si="4"/>
        <v>52760</v>
      </c>
      <c r="AK9" s="672">
        <f t="shared" si="4"/>
        <v>52760</v>
      </c>
    </row>
    <row r="10" spans="2:37" x14ac:dyDescent="0.2">
      <c r="B10" s="32"/>
      <c r="C10" s="672"/>
      <c r="D10" s="672"/>
      <c r="E10" s="672"/>
      <c r="F10" s="672"/>
      <c r="G10" s="672"/>
      <c r="H10" s="672"/>
      <c r="I10" s="672"/>
      <c r="J10" s="672"/>
      <c r="K10" s="672"/>
      <c r="L10" s="672"/>
      <c r="M10" s="672"/>
      <c r="N10" s="672"/>
      <c r="O10" s="672"/>
      <c r="P10" s="672"/>
      <c r="Q10" s="672"/>
      <c r="R10" s="672"/>
      <c r="S10" s="672"/>
      <c r="T10" s="672"/>
      <c r="U10" s="672"/>
      <c r="V10" s="672"/>
      <c r="W10" s="672"/>
      <c r="X10" s="672"/>
      <c r="Y10" s="672"/>
      <c r="Z10" s="672"/>
      <c r="AA10" s="672"/>
      <c r="AB10" s="672"/>
      <c r="AC10" s="672"/>
      <c r="AD10" s="672"/>
      <c r="AE10" s="672"/>
      <c r="AF10" s="672"/>
      <c r="AG10" s="672"/>
      <c r="AH10" s="672"/>
      <c r="AI10" s="672"/>
      <c r="AJ10" s="672"/>
      <c r="AK10" s="672"/>
    </row>
    <row r="11" spans="2:37" x14ac:dyDescent="0.2">
      <c r="B11" s="32" t="s">
        <v>336</v>
      </c>
      <c r="C11" s="672">
        <f>'Datu ievade'!B88</f>
        <v>9150</v>
      </c>
      <c r="D11" s="672">
        <f>'Datu ievade'!C88</f>
        <v>9150</v>
      </c>
      <c r="E11" s="672">
        <f>'Datu ievade'!D88</f>
        <v>9150</v>
      </c>
      <c r="F11" s="672">
        <f>'Datu ievade'!E88</f>
        <v>9250</v>
      </c>
      <c r="G11" s="672">
        <f>'Datu ievade'!F88</f>
        <v>9250</v>
      </c>
      <c r="H11" s="672">
        <f>'Datu ievade'!G88</f>
        <v>9250</v>
      </c>
      <c r="I11" s="672">
        <f>'Datu ievade'!H88</f>
        <v>9250</v>
      </c>
      <c r="J11" s="672">
        <f>I11</f>
        <v>9250</v>
      </c>
      <c r="K11" s="672">
        <f t="shared" ref="K11:AK14" si="5">J11</f>
        <v>9250</v>
      </c>
      <c r="L11" s="672">
        <f t="shared" si="5"/>
        <v>9250</v>
      </c>
      <c r="M11" s="672">
        <f t="shared" si="5"/>
        <v>9250</v>
      </c>
      <c r="N11" s="672">
        <f t="shared" si="5"/>
        <v>9250</v>
      </c>
      <c r="O11" s="672">
        <f t="shared" si="5"/>
        <v>9250</v>
      </c>
      <c r="P11" s="672">
        <f t="shared" si="5"/>
        <v>9250</v>
      </c>
      <c r="Q11" s="672">
        <f t="shared" si="5"/>
        <v>9250</v>
      </c>
      <c r="R11" s="672">
        <f t="shared" si="5"/>
        <v>9250</v>
      </c>
      <c r="S11" s="672">
        <f t="shared" si="5"/>
        <v>9250</v>
      </c>
      <c r="T11" s="672">
        <f t="shared" si="5"/>
        <v>9250</v>
      </c>
      <c r="U11" s="672">
        <f t="shared" si="5"/>
        <v>9250</v>
      </c>
      <c r="V11" s="672">
        <f t="shared" si="5"/>
        <v>9250</v>
      </c>
      <c r="W11" s="672">
        <f t="shared" si="5"/>
        <v>9250</v>
      </c>
      <c r="X11" s="672">
        <f t="shared" si="5"/>
        <v>9250</v>
      </c>
      <c r="Y11" s="672">
        <f t="shared" si="5"/>
        <v>9250</v>
      </c>
      <c r="Z11" s="672">
        <f t="shared" si="5"/>
        <v>9250</v>
      </c>
      <c r="AA11" s="672">
        <f t="shared" si="5"/>
        <v>9250</v>
      </c>
      <c r="AB11" s="672">
        <f t="shared" si="5"/>
        <v>9250</v>
      </c>
      <c r="AC11" s="672">
        <f t="shared" si="5"/>
        <v>9250</v>
      </c>
      <c r="AD11" s="672">
        <f t="shared" si="5"/>
        <v>9250</v>
      </c>
      <c r="AE11" s="672">
        <f t="shared" si="5"/>
        <v>9250</v>
      </c>
      <c r="AF11" s="672">
        <f t="shared" si="5"/>
        <v>9250</v>
      </c>
      <c r="AG11" s="672">
        <f t="shared" si="5"/>
        <v>9250</v>
      </c>
      <c r="AH11" s="672">
        <f t="shared" si="5"/>
        <v>9250</v>
      </c>
      <c r="AI11" s="672">
        <f t="shared" si="5"/>
        <v>9250</v>
      </c>
      <c r="AJ11" s="672">
        <f t="shared" si="5"/>
        <v>9250</v>
      </c>
      <c r="AK11" s="672">
        <f t="shared" si="5"/>
        <v>9250</v>
      </c>
    </row>
    <row r="12" spans="2:37" x14ac:dyDescent="0.2">
      <c r="B12" s="32" t="s">
        <v>340</v>
      </c>
      <c r="C12" s="672">
        <f>'Datu ievade'!B89</f>
        <v>68</v>
      </c>
      <c r="D12" s="672">
        <f>'Datu ievade'!C89</f>
        <v>68</v>
      </c>
      <c r="E12" s="672">
        <f>'Datu ievade'!D89</f>
        <v>68</v>
      </c>
      <c r="F12" s="672">
        <f>'Datu ievade'!E89</f>
        <v>68</v>
      </c>
      <c r="G12" s="672">
        <f>'Datu ievade'!F89</f>
        <v>68</v>
      </c>
      <c r="H12" s="672">
        <f>'Datu ievade'!G89</f>
        <v>68</v>
      </c>
      <c r="I12" s="672">
        <f>'Datu ievade'!H89</f>
        <v>68</v>
      </c>
      <c r="J12" s="672">
        <f t="shared" ref="J12:Y14" si="6">I12</f>
        <v>68</v>
      </c>
      <c r="K12" s="672">
        <f t="shared" si="6"/>
        <v>68</v>
      </c>
      <c r="L12" s="672">
        <f t="shared" si="6"/>
        <v>68</v>
      </c>
      <c r="M12" s="672">
        <f t="shared" si="6"/>
        <v>68</v>
      </c>
      <c r="N12" s="672">
        <f t="shared" si="6"/>
        <v>68</v>
      </c>
      <c r="O12" s="672">
        <f t="shared" si="6"/>
        <v>68</v>
      </c>
      <c r="P12" s="672">
        <f t="shared" si="6"/>
        <v>68</v>
      </c>
      <c r="Q12" s="672">
        <f t="shared" si="6"/>
        <v>68</v>
      </c>
      <c r="R12" s="672">
        <f t="shared" si="6"/>
        <v>68</v>
      </c>
      <c r="S12" s="672">
        <f t="shared" si="6"/>
        <v>68</v>
      </c>
      <c r="T12" s="672">
        <f t="shared" si="6"/>
        <v>68</v>
      </c>
      <c r="U12" s="672">
        <f t="shared" si="6"/>
        <v>68</v>
      </c>
      <c r="V12" s="672">
        <f t="shared" si="6"/>
        <v>68</v>
      </c>
      <c r="W12" s="672">
        <f t="shared" si="6"/>
        <v>68</v>
      </c>
      <c r="X12" s="672">
        <f t="shared" si="6"/>
        <v>68</v>
      </c>
      <c r="Y12" s="672">
        <f t="shared" si="6"/>
        <v>68</v>
      </c>
      <c r="Z12" s="672">
        <f t="shared" si="5"/>
        <v>68</v>
      </c>
      <c r="AA12" s="672">
        <f t="shared" si="5"/>
        <v>68</v>
      </c>
      <c r="AB12" s="672">
        <f t="shared" si="5"/>
        <v>68</v>
      </c>
      <c r="AC12" s="672">
        <f t="shared" si="5"/>
        <v>68</v>
      </c>
      <c r="AD12" s="672">
        <f t="shared" si="5"/>
        <v>68</v>
      </c>
      <c r="AE12" s="672">
        <f t="shared" si="5"/>
        <v>68</v>
      </c>
      <c r="AF12" s="672">
        <f t="shared" si="5"/>
        <v>68</v>
      </c>
      <c r="AG12" s="672">
        <f t="shared" si="5"/>
        <v>68</v>
      </c>
      <c r="AH12" s="672">
        <f t="shared" si="5"/>
        <v>68</v>
      </c>
      <c r="AI12" s="672">
        <f t="shared" si="5"/>
        <v>68</v>
      </c>
      <c r="AJ12" s="672">
        <f t="shared" si="5"/>
        <v>68</v>
      </c>
      <c r="AK12" s="672">
        <f t="shared" si="5"/>
        <v>68</v>
      </c>
    </row>
    <row r="13" spans="2:37" x14ac:dyDescent="0.2">
      <c r="B13" s="32" t="s">
        <v>337</v>
      </c>
      <c r="C13" s="672">
        <f>'Datu ievade'!B90</f>
        <v>39062.800000000003</v>
      </c>
      <c r="D13" s="672">
        <f>'Datu ievade'!C90</f>
        <v>39062.800000000003</v>
      </c>
      <c r="E13" s="672">
        <f>'Datu ievade'!D90</f>
        <v>39062.800000000003</v>
      </c>
      <c r="F13" s="672">
        <f>'Datu ievade'!E90</f>
        <v>39062.800000000003</v>
      </c>
      <c r="G13" s="672">
        <f>'Datu ievade'!F90</f>
        <v>39062.800000000003</v>
      </c>
      <c r="H13" s="672">
        <f>'Datu ievade'!G90</f>
        <v>39062.800000000003</v>
      </c>
      <c r="I13" s="672">
        <f>'Datu ievade'!H90</f>
        <v>39062.800000000003</v>
      </c>
      <c r="J13" s="672">
        <f t="shared" si="6"/>
        <v>39062.800000000003</v>
      </c>
      <c r="K13" s="672">
        <f t="shared" si="5"/>
        <v>39062.800000000003</v>
      </c>
      <c r="L13" s="672">
        <f t="shared" si="5"/>
        <v>39062.800000000003</v>
      </c>
      <c r="M13" s="672">
        <f t="shared" si="5"/>
        <v>39062.800000000003</v>
      </c>
      <c r="N13" s="672">
        <f t="shared" si="5"/>
        <v>39062.800000000003</v>
      </c>
      <c r="O13" s="672">
        <f t="shared" si="5"/>
        <v>39062.800000000003</v>
      </c>
      <c r="P13" s="672">
        <f t="shared" si="5"/>
        <v>39062.800000000003</v>
      </c>
      <c r="Q13" s="672">
        <f t="shared" si="5"/>
        <v>39062.800000000003</v>
      </c>
      <c r="R13" s="672">
        <f t="shared" si="5"/>
        <v>39062.800000000003</v>
      </c>
      <c r="S13" s="672">
        <f t="shared" si="5"/>
        <v>39062.800000000003</v>
      </c>
      <c r="T13" s="672">
        <f t="shared" si="5"/>
        <v>39062.800000000003</v>
      </c>
      <c r="U13" s="672">
        <f t="shared" si="5"/>
        <v>39062.800000000003</v>
      </c>
      <c r="V13" s="672">
        <f t="shared" si="5"/>
        <v>39062.800000000003</v>
      </c>
      <c r="W13" s="672">
        <f t="shared" si="5"/>
        <v>39062.800000000003</v>
      </c>
      <c r="X13" s="672">
        <f t="shared" si="5"/>
        <v>39062.800000000003</v>
      </c>
      <c r="Y13" s="672">
        <f t="shared" si="5"/>
        <v>39062.800000000003</v>
      </c>
      <c r="Z13" s="672">
        <f t="shared" si="5"/>
        <v>39062.800000000003</v>
      </c>
      <c r="AA13" s="672">
        <f t="shared" si="5"/>
        <v>39062.800000000003</v>
      </c>
      <c r="AB13" s="672">
        <f t="shared" si="5"/>
        <v>39062.800000000003</v>
      </c>
      <c r="AC13" s="672">
        <f t="shared" si="5"/>
        <v>39062.800000000003</v>
      </c>
      <c r="AD13" s="672">
        <f t="shared" si="5"/>
        <v>39062.800000000003</v>
      </c>
      <c r="AE13" s="672">
        <f t="shared" si="5"/>
        <v>39062.800000000003</v>
      </c>
      <c r="AF13" s="672">
        <f t="shared" si="5"/>
        <v>39062.800000000003</v>
      </c>
      <c r="AG13" s="672">
        <f t="shared" si="5"/>
        <v>39062.800000000003</v>
      </c>
      <c r="AH13" s="672">
        <f t="shared" si="5"/>
        <v>39062.800000000003</v>
      </c>
      <c r="AI13" s="672">
        <f t="shared" si="5"/>
        <v>39062.800000000003</v>
      </c>
      <c r="AJ13" s="672">
        <f t="shared" si="5"/>
        <v>39062.800000000003</v>
      </c>
      <c r="AK13" s="672">
        <f t="shared" si="5"/>
        <v>39062.800000000003</v>
      </c>
    </row>
    <row r="14" spans="2:37" x14ac:dyDescent="0.2">
      <c r="B14" s="32" t="s">
        <v>338</v>
      </c>
      <c r="C14" s="672">
        <f>'Datu ievade'!B91</f>
        <v>52150</v>
      </c>
      <c r="D14" s="672">
        <f>'Datu ievade'!C91</f>
        <v>52150</v>
      </c>
      <c r="E14" s="672">
        <f>'Datu ievade'!D91</f>
        <v>52150</v>
      </c>
      <c r="F14" s="672">
        <f>'Datu ievade'!E91</f>
        <v>52150</v>
      </c>
      <c r="G14" s="672">
        <f>'Datu ievade'!F91</f>
        <v>52150</v>
      </c>
      <c r="H14" s="672">
        <f>'Datu ievade'!G91</f>
        <v>52150</v>
      </c>
      <c r="I14" s="672">
        <f>'Datu ievade'!H91</f>
        <v>52150</v>
      </c>
      <c r="J14" s="672">
        <f t="shared" si="6"/>
        <v>52150</v>
      </c>
      <c r="K14" s="672">
        <f t="shared" si="5"/>
        <v>52150</v>
      </c>
      <c r="L14" s="672">
        <f t="shared" si="5"/>
        <v>52150</v>
      </c>
      <c r="M14" s="672">
        <f t="shared" si="5"/>
        <v>52150</v>
      </c>
      <c r="N14" s="672">
        <f t="shared" si="5"/>
        <v>52150</v>
      </c>
      <c r="O14" s="672">
        <f t="shared" si="5"/>
        <v>52150</v>
      </c>
      <c r="P14" s="672">
        <f t="shared" si="5"/>
        <v>52150</v>
      </c>
      <c r="Q14" s="672">
        <f t="shared" si="5"/>
        <v>52150</v>
      </c>
      <c r="R14" s="672">
        <f t="shared" si="5"/>
        <v>52150</v>
      </c>
      <c r="S14" s="672">
        <f t="shared" si="5"/>
        <v>52150</v>
      </c>
      <c r="T14" s="672">
        <f t="shared" si="5"/>
        <v>52150</v>
      </c>
      <c r="U14" s="672">
        <f t="shared" si="5"/>
        <v>52150</v>
      </c>
      <c r="V14" s="672">
        <f t="shared" si="5"/>
        <v>52150</v>
      </c>
      <c r="W14" s="672">
        <f t="shared" si="5"/>
        <v>52150</v>
      </c>
      <c r="X14" s="672">
        <f t="shared" si="5"/>
        <v>52150</v>
      </c>
      <c r="Y14" s="672">
        <f t="shared" si="5"/>
        <v>52150</v>
      </c>
      <c r="Z14" s="672">
        <f t="shared" si="5"/>
        <v>52150</v>
      </c>
      <c r="AA14" s="672">
        <f t="shared" si="5"/>
        <v>52150</v>
      </c>
      <c r="AB14" s="672">
        <f t="shared" si="5"/>
        <v>52150</v>
      </c>
      <c r="AC14" s="672">
        <f t="shared" si="5"/>
        <v>52150</v>
      </c>
      <c r="AD14" s="672">
        <f t="shared" si="5"/>
        <v>52150</v>
      </c>
      <c r="AE14" s="672">
        <f t="shared" si="5"/>
        <v>52150</v>
      </c>
      <c r="AF14" s="672">
        <f t="shared" si="5"/>
        <v>52150</v>
      </c>
      <c r="AG14" s="672">
        <f t="shared" si="5"/>
        <v>52150</v>
      </c>
      <c r="AH14" s="672">
        <f t="shared" si="5"/>
        <v>52150</v>
      </c>
      <c r="AI14" s="672">
        <f t="shared" si="5"/>
        <v>52150</v>
      </c>
      <c r="AJ14" s="672">
        <f t="shared" si="5"/>
        <v>52150</v>
      </c>
      <c r="AK14" s="672">
        <f t="shared" si="5"/>
        <v>52150</v>
      </c>
    </row>
    <row r="15" spans="2:37" x14ac:dyDescent="0.2">
      <c r="C15" s="672"/>
      <c r="D15" s="672"/>
      <c r="E15" s="672"/>
      <c r="F15" s="672"/>
      <c r="G15" s="672"/>
      <c r="H15" s="672"/>
      <c r="I15" s="672"/>
      <c r="J15" s="672"/>
      <c r="K15" s="672"/>
      <c r="L15" s="672"/>
      <c r="M15" s="672"/>
      <c r="N15" s="672"/>
      <c r="O15" s="672"/>
      <c r="P15" s="672"/>
      <c r="Q15" s="672"/>
      <c r="R15" s="672"/>
      <c r="S15" s="672"/>
      <c r="T15" s="672"/>
      <c r="U15" s="672"/>
      <c r="V15" s="672"/>
      <c r="W15" s="672"/>
      <c r="X15" s="672"/>
      <c r="Y15" s="672"/>
      <c r="Z15" s="672"/>
      <c r="AA15" s="672"/>
      <c r="AB15" s="672"/>
      <c r="AC15" s="672"/>
      <c r="AD15" s="672"/>
      <c r="AE15" s="672"/>
      <c r="AF15" s="672"/>
      <c r="AG15" s="672"/>
      <c r="AH15" s="672"/>
      <c r="AI15" s="672"/>
      <c r="AJ15" s="672"/>
      <c r="AK15" s="672"/>
    </row>
    <row r="16" spans="2:37" x14ac:dyDescent="0.15">
      <c r="B16" s="30" t="s">
        <v>459</v>
      </c>
      <c r="C16" s="672"/>
      <c r="D16" s="672"/>
      <c r="E16" s="672"/>
      <c r="F16" s="672"/>
      <c r="G16" s="672"/>
      <c r="H16" s="672"/>
      <c r="I16" s="672"/>
      <c r="J16" s="672"/>
      <c r="K16" s="672"/>
      <c r="L16" s="672"/>
      <c r="M16" s="672"/>
      <c r="N16" s="672"/>
      <c r="O16" s="672"/>
      <c r="P16" s="672"/>
      <c r="Q16" s="672"/>
      <c r="R16" s="672"/>
      <c r="S16" s="672"/>
      <c r="T16" s="672"/>
      <c r="U16" s="672"/>
      <c r="V16" s="672"/>
      <c r="W16" s="672"/>
      <c r="X16" s="672"/>
      <c r="Y16" s="672"/>
      <c r="Z16" s="672"/>
      <c r="AA16" s="672"/>
      <c r="AB16" s="672"/>
      <c r="AC16" s="672"/>
      <c r="AD16" s="672"/>
      <c r="AE16" s="672"/>
      <c r="AF16" s="672"/>
      <c r="AG16" s="672"/>
      <c r="AH16" s="672"/>
      <c r="AI16" s="672"/>
      <c r="AJ16" s="672"/>
      <c r="AK16" s="672"/>
    </row>
    <row r="17" spans="2:38" x14ac:dyDescent="0.2">
      <c r="B17" s="31" t="s">
        <v>8</v>
      </c>
      <c r="C17" s="672">
        <v>0</v>
      </c>
      <c r="D17" s="672">
        <f>'Datu ievade'!C67</f>
        <v>30600</v>
      </c>
      <c r="E17" s="672">
        <f>'Datu ievade'!D67</f>
        <v>0</v>
      </c>
      <c r="F17" s="672">
        <f>'Datu ievade'!E67</f>
        <v>0</v>
      </c>
      <c r="G17" s="672">
        <f>'Datu ievade'!F67</f>
        <v>0</v>
      </c>
      <c r="H17" s="672">
        <f>'Datu ievade'!G67</f>
        <v>0</v>
      </c>
      <c r="I17" s="672">
        <f>'Datu ievade'!H67</f>
        <v>0</v>
      </c>
      <c r="J17" s="672">
        <f>'Datu ievade'!I67</f>
        <v>0</v>
      </c>
      <c r="K17" s="672">
        <f>'Datu ievade'!J67</f>
        <v>0</v>
      </c>
      <c r="L17" s="672">
        <f>'Datu ievade'!K67</f>
        <v>0</v>
      </c>
      <c r="M17" s="672">
        <f>'Datu ievade'!L67</f>
        <v>0</v>
      </c>
      <c r="N17" s="672">
        <f>'Datu ievade'!M67</f>
        <v>0</v>
      </c>
      <c r="O17" s="672">
        <f>'Datu ievade'!N67</f>
        <v>0</v>
      </c>
      <c r="P17" s="672">
        <f>'Datu ievade'!O67</f>
        <v>0</v>
      </c>
      <c r="Q17" s="672">
        <f>'Datu ievade'!P67</f>
        <v>0</v>
      </c>
      <c r="R17" s="672">
        <f>'Datu ievade'!Q67</f>
        <v>0</v>
      </c>
      <c r="S17" s="672">
        <f>'Datu ievade'!R67</f>
        <v>0</v>
      </c>
      <c r="T17" s="672">
        <f>'Datu ievade'!S67</f>
        <v>0</v>
      </c>
      <c r="U17" s="672">
        <f>'Datu ievade'!T67</f>
        <v>0</v>
      </c>
      <c r="V17" s="672">
        <f>'Datu ievade'!U67</f>
        <v>0</v>
      </c>
      <c r="W17" s="672">
        <f>'Datu ievade'!V67</f>
        <v>0</v>
      </c>
      <c r="X17" s="672">
        <f>'Datu ievade'!W67</f>
        <v>0</v>
      </c>
      <c r="Y17" s="672">
        <f>'Datu ievade'!X67</f>
        <v>0</v>
      </c>
      <c r="Z17" s="672">
        <f>'Datu ievade'!Y67</f>
        <v>0</v>
      </c>
      <c r="AA17" s="672">
        <f>'Datu ievade'!Z67</f>
        <v>0</v>
      </c>
      <c r="AB17" s="672">
        <f>'Datu ievade'!AA67</f>
        <v>0</v>
      </c>
      <c r="AC17" s="672">
        <f>'Datu ievade'!AB67</f>
        <v>0</v>
      </c>
      <c r="AD17" s="672">
        <f>'Datu ievade'!AC67</f>
        <v>0</v>
      </c>
      <c r="AE17" s="672">
        <f>'Datu ievade'!AD67</f>
        <v>0</v>
      </c>
      <c r="AF17" s="672">
        <f>'Datu ievade'!AE67</f>
        <v>0</v>
      </c>
      <c r="AG17" s="672">
        <f>'Datu ievade'!AF67</f>
        <v>0</v>
      </c>
      <c r="AH17" s="672">
        <f>'Datu ievade'!AG67</f>
        <v>0</v>
      </c>
      <c r="AI17" s="672">
        <f>'Datu ievade'!AH67</f>
        <v>0</v>
      </c>
      <c r="AJ17" s="672">
        <f>'Datu ievade'!AI67</f>
        <v>0</v>
      </c>
      <c r="AK17" s="672">
        <f>'Datu ievade'!AJ67</f>
        <v>0</v>
      </c>
      <c r="AL17" s="592"/>
    </row>
    <row r="18" spans="2:38" x14ac:dyDescent="0.2">
      <c r="B18" s="31" t="s">
        <v>9</v>
      </c>
      <c r="C18" s="672">
        <v>0</v>
      </c>
      <c r="D18" s="672">
        <f>'Datu ievade'!C71</f>
        <v>30600</v>
      </c>
      <c r="E18" s="672">
        <f>'Datu ievade'!D71</f>
        <v>0</v>
      </c>
      <c r="F18" s="672">
        <f>'Datu ievade'!E71</f>
        <v>0</v>
      </c>
      <c r="G18" s="672">
        <f>'Datu ievade'!F71</f>
        <v>0</v>
      </c>
      <c r="H18" s="672">
        <f>'Datu ievade'!G71</f>
        <v>0</v>
      </c>
      <c r="I18" s="672">
        <f>'Datu ievade'!H71</f>
        <v>0</v>
      </c>
      <c r="J18" s="672">
        <f>'Datu ievade'!I71</f>
        <v>0</v>
      </c>
      <c r="K18" s="672">
        <f>'Datu ievade'!J71</f>
        <v>0</v>
      </c>
      <c r="L18" s="672">
        <f>'Datu ievade'!K71</f>
        <v>0</v>
      </c>
      <c r="M18" s="672">
        <f>'Datu ievade'!L71</f>
        <v>0</v>
      </c>
      <c r="N18" s="672">
        <f>'Datu ievade'!M71</f>
        <v>0</v>
      </c>
      <c r="O18" s="672">
        <f>'Datu ievade'!N71</f>
        <v>0</v>
      </c>
      <c r="P18" s="672">
        <f>'Datu ievade'!O71</f>
        <v>0</v>
      </c>
      <c r="Q18" s="672">
        <f>'Datu ievade'!P71</f>
        <v>0</v>
      </c>
      <c r="R18" s="672">
        <f>'Datu ievade'!Q71</f>
        <v>0</v>
      </c>
      <c r="S18" s="672">
        <f>'Datu ievade'!R71</f>
        <v>0</v>
      </c>
      <c r="T18" s="672">
        <f>'Datu ievade'!S71</f>
        <v>0</v>
      </c>
      <c r="U18" s="672">
        <f>'Datu ievade'!T71</f>
        <v>0</v>
      </c>
      <c r="V18" s="672">
        <f>'Datu ievade'!U71</f>
        <v>0</v>
      </c>
      <c r="W18" s="672">
        <f>'Datu ievade'!V71</f>
        <v>0</v>
      </c>
      <c r="X18" s="672">
        <f>'Datu ievade'!W71</f>
        <v>0</v>
      </c>
      <c r="Y18" s="672">
        <f>'Datu ievade'!X71</f>
        <v>0</v>
      </c>
      <c r="Z18" s="672">
        <f>'Datu ievade'!Y71</f>
        <v>0</v>
      </c>
      <c r="AA18" s="672">
        <f>'Datu ievade'!Z71</f>
        <v>0</v>
      </c>
      <c r="AB18" s="672">
        <f>'Datu ievade'!AA71</f>
        <v>0</v>
      </c>
      <c r="AC18" s="672">
        <f>'Datu ievade'!AB71</f>
        <v>0</v>
      </c>
      <c r="AD18" s="672">
        <f>'Datu ievade'!AC71</f>
        <v>0</v>
      </c>
      <c r="AE18" s="672">
        <f>'Datu ievade'!AD71</f>
        <v>0</v>
      </c>
      <c r="AF18" s="672">
        <f>'Datu ievade'!AE71</f>
        <v>0</v>
      </c>
      <c r="AG18" s="672">
        <f>'Datu ievade'!AF71</f>
        <v>0</v>
      </c>
      <c r="AH18" s="672">
        <f>'Datu ievade'!AG71</f>
        <v>0</v>
      </c>
      <c r="AI18" s="672">
        <f>'Datu ievade'!AH71</f>
        <v>0</v>
      </c>
      <c r="AJ18" s="672">
        <f>'Datu ievade'!AI71</f>
        <v>0</v>
      </c>
      <c r="AK18" s="672">
        <f>'Datu ievade'!AJ71</f>
        <v>0</v>
      </c>
      <c r="AL18" s="592"/>
    </row>
    <row r="19" spans="2:38" x14ac:dyDescent="0.2">
      <c r="B19" s="31" t="s">
        <v>21</v>
      </c>
      <c r="C19" s="672">
        <v>0</v>
      </c>
      <c r="D19" s="672">
        <f>'Datu ievade'!C69</f>
        <v>30600</v>
      </c>
      <c r="E19" s="672">
        <f>'Datu ievade'!D69</f>
        <v>0</v>
      </c>
      <c r="F19" s="672">
        <f>'Datu ievade'!E69</f>
        <v>0</v>
      </c>
      <c r="G19" s="672">
        <f>'Datu ievade'!F69</f>
        <v>0</v>
      </c>
      <c r="H19" s="672">
        <f>'Datu ievade'!G69</f>
        <v>0</v>
      </c>
      <c r="I19" s="672">
        <f>'Datu ievade'!H69</f>
        <v>0</v>
      </c>
      <c r="J19" s="672">
        <f>'Datu ievade'!I69</f>
        <v>0</v>
      </c>
      <c r="K19" s="672">
        <f>'Datu ievade'!J69</f>
        <v>0</v>
      </c>
      <c r="L19" s="672">
        <f>'Datu ievade'!K69</f>
        <v>0</v>
      </c>
      <c r="M19" s="672">
        <f>'Datu ievade'!L69</f>
        <v>0</v>
      </c>
      <c r="N19" s="672">
        <f>'Datu ievade'!M69</f>
        <v>0</v>
      </c>
      <c r="O19" s="672">
        <f>'Datu ievade'!N69</f>
        <v>0</v>
      </c>
      <c r="P19" s="672">
        <f>'Datu ievade'!O69</f>
        <v>0</v>
      </c>
      <c r="Q19" s="672">
        <f>'Datu ievade'!P69</f>
        <v>0</v>
      </c>
      <c r="R19" s="672">
        <f>'Datu ievade'!Q69</f>
        <v>0</v>
      </c>
      <c r="S19" s="672">
        <f>'Datu ievade'!R69</f>
        <v>0</v>
      </c>
      <c r="T19" s="672">
        <f>'Datu ievade'!S69</f>
        <v>0</v>
      </c>
      <c r="U19" s="672">
        <f>'Datu ievade'!T69</f>
        <v>0</v>
      </c>
      <c r="V19" s="672">
        <f>'Datu ievade'!U69</f>
        <v>0</v>
      </c>
      <c r="W19" s="672">
        <f>'Datu ievade'!V69</f>
        <v>0</v>
      </c>
      <c r="X19" s="672">
        <f>'Datu ievade'!W69</f>
        <v>0</v>
      </c>
      <c r="Y19" s="672">
        <f>'Datu ievade'!X69</f>
        <v>0</v>
      </c>
      <c r="Z19" s="672">
        <f>'Datu ievade'!Y69</f>
        <v>0</v>
      </c>
      <c r="AA19" s="672">
        <f>'Datu ievade'!Z69</f>
        <v>0</v>
      </c>
      <c r="AB19" s="672">
        <f>'Datu ievade'!AA69</f>
        <v>0</v>
      </c>
      <c r="AC19" s="672">
        <f>'Datu ievade'!AB69</f>
        <v>0</v>
      </c>
      <c r="AD19" s="672">
        <f>'Datu ievade'!AC69</f>
        <v>0</v>
      </c>
      <c r="AE19" s="672">
        <f>'Datu ievade'!AD69</f>
        <v>0</v>
      </c>
      <c r="AF19" s="672">
        <f>'Datu ievade'!AE69</f>
        <v>0</v>
      </c>
      <c r="AG19" s="672">
        <f>'Datu ievade'!AF69</f>
        <v>0</v>
      </c>
      <c r="AH19" s="672">
        <f>'Datu ievade'!AG69</f>
        <v>0</v>
      </c>
      <c r="AI19" s="672">
        <f>'Datu ievade'!AH69</f>
        <v>0</v>
      </c>
      <c r="AJ19" s="672">
        <f>'Datu ievade'!AI69</f>
        <v>0</v>
      </c>
      <c r="AK19" s="672">
        <f>'Datu ievade'!AJ69</f>
        <v>0</v>
      </c>
      <c r="AL19" s="592"/>
    </row>
    <row r="20" spans="2:38" x14ac:dyDescent="0.2">
      <c r="B20" s="31" t="s">
        <v>22</v>
      </c>
      <c r="C20" s="672">
        <v>0</v>
      </c>
      <c r="D20" s="672">
        <v>0</v>
      </c>
      <c r="E20" s="672">
        <v>0</v>
      </c>
      <c r="F20" s="672">
        <v>0</v>
      </c>
      <c r="G20" s="672">
        <v>0</v>
      </c>
      <c r="H20" s="672">
        <v>0</v>
      </c>
      <c r="I20" s="672">
        <v>0</v>
      </c>
      <c r="J20" s="672">
        <v>0</v>
      </c>
      <c r="K20" s="672">
        <v>0</v>
      </c>
      <c r="L20" s="672">
        <v>0</v>
      </c>
      <c r="M20" s="672">
        <v>0</v>
      </c>
      <c r="N20" s="672">
        <v>0</v>
      </c>
      <c r="O20" s="672">
        <v>0</v>
      </c>
      <c r="P20" s="672">
        <v>0</v>
      </c>
      <c r="Q20" s="672">
        <v>0</v>
      </c>
      <c r="R20" s="672">
        <v>0</v>
      </c>
      <c r="S20" s="672">
        <v>0</v>
      </c>
      <c r="T20" s="672">
        <v>0</v>
      </c>
      <c r="U20" s="672">
        <v>0</v>
      </c>
      <c r="V20" s="672">
        <v>0</v>
      </c>
      <c r="W20" s="672">
        <v>0</v>
      </c>
      <c r="X20" s="672">
        <v>0</v>
      </c>
      <c r="Y20" s="672">
        <v>0</v>
      </c>
      <c r="Z20" s="672">
        <v>0</v>
      </c>
      <c r="AA20" s="672">
        <v>0</v>
      </c>
      <c r="AB20" s="672">
        <v>0</v>
      </c>
      <c r="AC20" s="672">
        <v>0</v>
      </c>
      <c r="AD20" s="672">
        <v>0</v>
      </c>
      <c r="AE20" s="672">
        <v>0</v>
      </c>
      <c r="AF20" s="672">
        <v>0</v>
      </c>
      <c r="AG20" s="672">
        <v>0</v>
      </c>
      <c r="AH20" s="672">
        <v>0</v>
      </c>
      <c r="AI20" s="672">
        <v>0</v>
      </c>
      <c r="AJ20" s="672">
        <v>0</v>
      </c>
      <c r="AK20" s="672">
        <v>0</v>
      </c>
      <c r="AL20" s="592"/>
    </row>
    <row r="21" spans="2:38" x14ac:dyDescent="0.2">
      <c r="B21" s="31" t="s">
        <v>253</v>
      </c>
      <c r="C21" s="672">
        <v>0</v>
      </c>
      <c r="D21" s="672">
        <v>0</v>
      </c>
      <c r="E21" s="672">
        <v>0</v>
      </c>
      <c r="F21" s="672">
        <v>0</v>
      </c>
      <c r="G21" s="672">
        <v>0</v>
      </c>
      <c r="H21" s="672">
        <v>0</v>
      </c>
      <c r="I21" s="672">
        <v>0</v>
      </c>
      <c r="J21" s="672">
        <v>0</v>
      </c>
      <c r="K21" s="672">
        <v>0</v>
      </c>
      <c r="L21" s="672">
        <v>0</v>
      </c>
      <c r="M21" s="672">
        <v>0</v>
      </c>
      <c r="N21" s="672">
        <v>0</v>
      </c>
      <c r="O21" s="672">
        <v>0</v>
      </c>
      <c r="P21" s="672">
        <v>0</v>
      </c>
      <c r="Q21" s="672">
        <v>0</v>
      </c>
      <c r="R21" s="672">
        <v>0</v>
      </c>
      <c r="S21" s="672">
        <v>0</v>
      </c>
      <c r="T21" s="672">
        <v>0</v>
      </c>
      <c r="U21" s="672">
        <v>0</v>
      </c>
      <c r="V21" s="672">
        <v>0</v>
      </c>
      <c r="W21" s="672">
        <v>0</v>
      </c>
      <c r="X21" s="672">
        <v>0</v>
      </c>
      <c r="Y21" s="672">
        <v>0</v>
      </c>
      <c r="Z21" s="672">
        <v>0</v>
      </c>
      <c r="AA21" s="672">
        <v>0</v>
      </c>
      <c r="AB21" s="672">
        <v>0</v>
      </c>
      <c r="AC21" s="672">
        <v>0</v>
      </c>
      <c r="AD21" s="672">
        <v>0</v>
      </c>
      <c r="AE21" s="672">
        <v>0</v>
      </c>
      <c r="AF21" s="672">
        <v>0</v>
      </c>
      <c r="AG21" s="672">
        <v>0</v>
      </c>
      <c r="AH21" s="672">
        <v>0</v>
      </c>
      <c r="AI21" s="672">
        <v>0</v>
      </c>
      <c r="AJ21" s="672">
        <v>0</v>
      </c>
      <c r="AK21" s="672">
        <v>0</v>
      </c>
      <c r="AL21" s="592"/>
    </row>
    <row r="22" spans="2:38" x14ac:dyDescent="0.2">
      <c r="B22" s="31" t="s">
        <v>23</v>
      </c>
      <c r="C22" s="672">
        <v>0</v>
      </c>
      <c r="D22" s="672">
        <v>0</v>
      </c>
      <c r="E22" s="672">
        <v>0</v>
      </c>
      <c r="F22" s="672">
        <v>0</v>
      </c>
      <c r="G22" s="672">
        <v>0</v>
      </c>
      <c r="H22" s="672">
        <v>0</v>
      </c>
      <c r="I22" s="672">
        <v>0</v>
      </c>
      <c r="J22" s="672">
        <v>0</v>
      </c>
      <c r="K22" s="672">
        <v>0</v>
      </c>
      <c r="L22" s="672">
        <v>0</v>
      </c>
      <c r="M22" s="672">
        <v>0</v>
      </c>
      <c r="N22" s="672">
        <v>0</v>
      </c>
      <c r="O22" s="672">
        <v>0</v>
      </c>
      <c r="P22" s="672">
        <v>0</v>
      </c>
      <c r="Q22" s="672">
        <v>0</v>
      </c>
      <c r="R22" s="672">
        <v>0</v>
      </c>
      <c r="S22" s="672">
        <v>0</v>
      </c>
      <c r="T22" s="672">
        <v>0</v>
      </c>
      <c r="U22" s="672">
        <v>0</v>
      </c>
      <c r="V22" s="672">
        <v>0</v>
      </c>
      <c r="W22" s="672">
        <v>0</v>
      </c>
      <c r="X22" s="672">
        <v>0</v>
      </c>
      <c r="Y22" s="672">
        <v>0</v>
      </c>
      <c r="Z22" s="672">
        <v>0</v>
      </c>
      <c r="AA22" s="672">
        <v>0</v>
      </c>
      <c r="AB22" s="672">
        <v>0</v>
      </c>
      <c r="AC22" s="672">
        <v>0</v>
      </c>
      <c r="AD22" s="672">
        <v>0</v>
      </c>
      <c r="AE22" s="672">
        <v>0</v>
      </c>
      <c r="AF22" s="672">
        <v>0</v>
      </c>
      <c r="AG22" s="672">
        <v>0</v>
      </c>
      <c r="AH22" s="672">
        <v>0</v>
      </c>
      <c r="AI22" s="672">
        <v>0</v>
      </c>
      <c r="AJ22" s="672">
        <v>0</v>
      </c>
      <c r="AK22" s="672">
        <v>0</v>
      </c>
      <c r="AL22" s="592"/>
    </row>
    <row r="23" spans="2:38" x14ac:dyDescent="0.15">
      <c r="B23" s="30" t="s">
        <v>460</v>
      </c>
      <c r="C23" s="672"/>
      <c r="D23" s="672"/>
      <c r="E23" s="672"/>
      <c r="F23" s="672"/>
      <c r="G23" s="672"/>
      <c r="H23" s="672"/>
      <c r="I23" s="672"/>
      <c r="J23" s="672"/>
      <c r="K23" s="672"/>
      <c r="L23" s="672"/>
      <c r="M23" s="672"/>
      <c r="N23" s="672"/>
      <c r="O23" s="672"/>
      <c r="P23" s="672"/>
      <c r="Q23" s="672"/>
      <c r="R23" s="672"/>
      <c r="S23" s="672"/>
      <c r="T23" s="672"/>
      <c r="U23" s="672"/>
      <c r="V23" s="672"/>
      <c r="W23" s="672"/>
      <c r="X23" s="672"/>
      <c r="Y23" s="672"/>
      <c r="Z23" s="672"/>
      <c r="AA23" s="672"/>
      <c r="AB23" s="672"/>
      <c r="AC23" s="672"/>
      <c r="AD23" s="672"/>
      <c r="AE23" s="672"/>
      <c r="AF23" s="672"/>
      <c r="AG23" s="672"/>
      <c r="AH23" s="672"/>
      <c r="AI23" s="672"/>
      <c r="AJ23" s="672"/>
      <c r="AK23" s="672"/>
    </row>
    <row r="24" spans="2:38" x14ac:dyDescent="0.2">
      <c r="B24" s="31" t="s">
        <v>8</v>
      </c>
      <c r="C24" s="672">
        <v>0</v>
      </c>
      <c r="D24" s="672">
        <f>'Datu ievade'!C58+'Datu ievade'!C59+'Datu ievade'!C65</f>
        <v>56100</v>
      </c>
      <c r="E24" s="672">
        <f>'Datu ievade'!D58+'Datu ievade'!D59+'Datu ievade'!D65</f>
        <v>36400</v>
      </c>
      <c r="F24" s="672">
        <f>'Datu ievade'!E58+'Datu ievade'!E59+'Datu ievade'!E65</f>
        <v>0</v>
      </c>
      <c r="G24" s="672">
        <f>'Datu ievade'!F58+'Datu ievade'!F59+'Datu ievade'!F65</f>
        <v>0</v>
      </c>
      <c r="H24" s="672">
        <f>'Datu ievade'!G58+'Datu ievade'!G59+'Datu ievade'!G65</f>
        <v>0</v>
      </c>
      <c r="I24" s="672">
        <f>'Datu ievade'!H58+'Datu ievade'!H59+'Datu ievade'!H65</f>
        <v>0</v>
      </c>
      <c r="J24" s="672">
        <f>'Datu ievade'!I58+'Datu ievade'!I59+'Datu ievade'!I65</f>
        <v>0</v>
      </c>
      <c r="K24" s="672">
        <f>'Datu ievade'!J58+'Datu ievade'!J59+'Datu ievade'!J65</f>
        <v>0</v>
      </c>
      <c r="L24" s="672">
        <f>'Datu ievade'!K58+'Datu ievade'!K59+'Datu ievade'!K65</f>
        <v>0</v>
      </c>
      <c r="M24" s="672">
        <f>'Datu ievade'!L58+'Datu ievade'!L59+'Datu ievade'!L65</f>
        <v>0</v>
      </c>
      <c r="N24" s="672">
        <f>'Datu ievade'!M58+'Datu ievade'!M59+'Datu ievade'!M65</f>
        <v>0</v>
      </c>
      <c r="O24" s="672">
        <f>'Datu ievade'!N58+'Datu ievade'!N59+'Datu ievade'!N65</f>
        <v>0</v>
      </c>
      <c r="P24" s="672">
        <f>'Datu ievade'!O58+'Datu ievade'!O59+'Datu ievade'!O65</f>
        <v>0</v>
      </c>
      <c r="Q24" s="672">
        <f>'Datu ievade'!P58+'Datu ievade'!P59+'Datu ievade'!P65</f>
        <v>0</v>
      </c>
      <c r="R24" s="672">
        <f>'Datu ievade'!Q58+'Datu ievade'!Q59+'Datu ievade'!Q65</f>
        <v>0</v>
      </c>
      <c r="S24" s="672">
        <f>'Datu ievade'!R58+'Datu ievade'!R59+'Datu ievade'!R65</f>
        <v>0</v>
      </c>
      <c r="T24" s="672">
        <f>'Datu ievade'!S58+'Datu ievade'!S59+'Datu ievade'!S65</f>
        <v>0</v>
      </c>
      <c r="U24" s="672">
        <f>'Datu ievade'!T58+'Datu ievade'!T59+'Datu ievade'!T65</f>
        <v>0</v>
      </c>
      <c r="V24" s="672">
        <f>'Datu ievade'!U58+'Datu ievade'!U59+'Datu ievade'!U65</f>
        <v>0</v>
      </c>
      <c r="W24" s="672">
        <f>'Datu ievade'!V58+'Datu ievade'!V59+'Datu ievade'!V65</f>
        <v>0</v>
      </c>
      <c r="X24" s="672">
        <f>'Datu ievade'!W58+'Datu ievade'!W59+'Datu ievade'!W65</f>
        <v>0</v>
      </c>
      <c r="Y24" s="672">
        <f>'Datu ievade'!X58+'Datu ievade'!X59+'Datu ievade'!X65</f>
        <v>0</v>
      </c>
      <c r="Z24" s="672">
        <f>'Datu ievade'!Y58+'Datu ievade'!Y59+'Datu ievade'!Y65</f>
        <v>0</v>
      </c>
      <c r="AA24" s="672">
        <f>'Datu ievade'!Z58+'Datu ievade'!Z59+'Datu ievade'!Z65</f>
        <v>0</v>
      </c>
      <c r="AB24" s="672">
        <f>'Datu ievade'!AA58+'Datu ievade'!AA59+'Datu ievade'!AA65</f>
        <v>0</v>
      </c>
      <c r="AC24" s="672">
        <f>'Datu ievade'!AB58+'Datu ievade'!AB59+'Datu ievade'!AB65</f>
        <v>0</v>
      </c>
      <c r="AD24" s="672">
        <f>'Datu ievade'!AC58+'Datu ievade'!AC59+'Datu ievade'!AC65</f>
        <v>0</v>
      </c>
      <c r="AE24" s="672">
        <f>'Datu ievade'!AD58+'Datu ievade'!AD59+'Datu ievade'!AD65</f>
        <v>0</v>
      </c>
      <c r="AF24" s="672">
        <f>'Datu ievade'!AE58+'Datu ievade'!AE59+'Datu ievade'!AE65</f>
        <v>0</v>
      </c>
      <c r="AG24" s="672">
        <f>'Datu ievade'!AF58+'Datu ievade'!AF59+'Datu ievade'!AF65</f>
        <v>0</v>
      </c>
      <c r="AH24" s="672">
        <f>'Datu ievade'!AG58+'Datu ievade'!AG59+'Datu ievade'!AG65</f>
        <v>0</v>
      </c>
      <c r="AI24" s="672">
        <f>'Datu ievade'!AH58+'Datu ievade'!AH59+'Datu ievade'!AH65</f>
        <v>0</v>
      </c>
      <c r="AJ24" s="672">
        <f>'Datu ievade'!AI58+'Datu ievade'!AI59+'Datu ievade'!AI65</f>
        <v>0</v>
      </c>
      <c r="AK24" s="672">
        <f>'Datu ievade'!AJ58+'Datu ievade'!AJ59+'Datu ievade'!AJ65</f>
        <v>0</v>
      </c>
      <c r="AL24" s="592"/>
    </row>
    <row r="25" spans="2:38" x14ac:dyDescent="0.2">
      <c r="B25" s="31" t="s">
        <v>9</v>
      </c>
      <c r="C25" s="672">
        <v>0</v>
      </c>
      <c r="D25" s="672">
        <f>'Datu ievade'!C70</f>
        <v>30600</v>
      </c>
      <c r="E25" s="672">
        <f>'Datu ievade'!D70</f>
        <v>0</v>
      </c>
      <c r="F25" s="672">
        <f>'Datu ievade'!E70</f>
        <v>0</v>
      </c>
      <c r="G25" s="672">
        <f>'Datu ievade'!F70</f>
        <v>0</v>
      </c>
      <c r="H25" s="672">
        <f>'Datu ievade'!G70</f>
        <v>0</v>
      </c>
      <c r="I25" s="672">
        <f>'Datu ievade'!H70</f>
        <v>0</v>
      </c>
      <c r="J25" s="672">
        <f>'Datu ievade'!I70</f>
        <v>0</v>
      </c>
      <c r="K25" s="672">
        <f>'Datu ievade'!J70</f>
        <v>0</v>
      </c>
      <c r="L25" s="672">
        <f>'Datu ievade'!K70</f>
        <v>0</v>
      </c>
      <c r="M25" s="672">
        <f>'Datu ievade'!L70</f>
        <v>0</v>
      </c>
      <c r="N25" s="672">
        <f>'Datu ievade'!M70</f>
        <v>0</v>
      </c>
      <c r="O25" s="672">
        <f>'Datu ievade'!N70</f>
        <v>0</v>
      </c>
      <c r="P25" s="672">
        <f>'Datu ievade'!O70</f>
        <v>0</v>
      </c>
      <c r="Q25" s="672">
        <f>'Datu ievade'!P70</f>
        <v>0</v>
      </c>
      <c r="R25" s="672">
        <f>'Datu ievade'!Q70</f>
        <v>0</v>
      </c>
      <c r="S25" s="672">
        <f>'Datu ievade'!R70</f>
        <v>0</v>
      </c>
      <c r="T25" s="672">
        <f>'Datu ievade'!S70</f>
        <v>0</v>
      </c>
      <c r="U25" s="672">
        <f>'Datu ievade'!T70</f>
        <v>0</v>
      </c>
      <c r="V25" s="672">
        <f>'Datu ievade'!U70</f>
        <v>0</v>
      </c>
      <c r="W25" s="672">
        <f>'Datu ievade'!V70</f>
        <v>0</v>
      </c>
      <c r="X25" s="672">
        <f>'Datu ievade'!W70</f>
        <v>0</v>
      </c>
      <c r="Y25" s="672">
        <f>'Datu ievade'!X70</f>
        <v>0</v>
      </c>
      <c r="Z25" s="672">
        <f>'Datu ievade'!Y70</f>
        <v>0</v>
      </c>
      <c r="AA25" s="672">
        <f>'Datu ievade'!Z70</f>
        <v>0</v>
      </c>
      <c r="AB25" s="672">
        <f>'Datu ievade'!AA70</f>
        <v>0</v>
      </c>
      <c r="AC25" s="672">
        <f>'Datu ievade'!AB70</f>
        <v>0</v>
      </c>
      <c r="AD25" s="672">
        <f>'Datu ievade'!AC70</f>
        <v>0</v>
      </c>
      <c r="AE25" s="672">
        <f>'Datu ievade'!AD70</f>
        <v>0</v>
      </c>
      <c r="AF25" s="672">
        <f>'Datu ievade'!AE70</f>
        <v>0</v>
      </c>
      <c r="AG25" s="672">
        <f>'Datu ievade'!AF70</f>
        <v>0</v>
      </c>
      <c r="AH25" s="672">
        <f>'Datu ievade'!AG70</f>
        <v>0</v>
      </c>
      <c r="AI25" s="672">
        <f>'Datu ievade'!AH70</f>
        <v>0</v>
      </c>
      <c r="AJ25" s="672">
        <f>'Datu ievade'!AI70</f>
        <v>0</v>
      </c>
      <c r="AK25" s="672">
        <f>'Datu ievade'!AJ70</f>
        <v>0</v>
      </c>
      <c r="AL25" s="592"/>
    </row>
    <row r="26" spans="2:38" x14ac:dyDescent="0.2">
      <c r="B26" s="31" t="s">
        <v>21</v>
      </c>
      <c r="C26" s="672">
        <v>0</v>
      </c>
      <c r="D26" s="672">
        <f>'Datu ievade'!C60+'Datu ievade'!C66</f>
        <v>1785</v>
      </c>
      <c r="E26" s="672">
        <f>'Datu ievade'!D60+'Datu ievade'!D66</f>
        <v>0</v>
      </c>
      <c r="F26" s="672">
        <f>'Datu ievade'!E60+'Datu ievade'!E66</f>
        <v>0</v>
      </c>
      <c r="G26" s="672">
        <f>'Datu ievade'!F60+'Datu ievade'!F66</f>
        <v>0</v>
      </c>
      <c r="H26" s="672">
        <f>'Datu ievade'!G60+'Datu ievade'!G66</f>
        <v>0</v>
      </c>
      <c r="I26" s="672">
        <f>'Datu ievade'!H60+'Datu ievade'!H66</f>
        <v>0</v>
      </c>
      <c r="J26" s="672">
        <f>'Datu ievade'!I60+'Datu ievade'!I66</f>
        <v>0</v>
      </c>
      <c r="K26" s="672">
        <f>'Datu ievade'!J60+'Datu ievade'!J66</f>
        <v>0</v>
      </c>
      <c r="L26" s="672">
        <f>'Datu ievade'!K60+'Datu ievade'!K66</f>
        <v>0</v>
      </c>
      <c r="M26" s="672">
        <f>'Datu ievade'!L60+'Datu ievade'!L66</f>
        <v>0</v>
      </c>
      <c r="N26" s="672">
        <f>'Datu ievade'!M60+'Datu ievade'!M66</f>
        <v>0</v>
      </c>
      <c r="O26" s="672">
        <f>'Datu ievade'!N60+'Datu ievade'!N66</f>
        <v>0</v>
      </c>
      <c r="P26" s="672">
        <f>'Datu ievade'!O60+'Datu ievade'!O66</f>
        <v>0</v>
      </c>
      <c r="Q26" s="672">
        <f>'Datu ievade'!P60+'Datu ievade'!P66</f>
        <v>0</v>
      </c>
      <c r="R26" s="672">
        <f>'Datu ievade'!Q60+'Datu ievade'!Q66</f>
        <v>0</v>
      </c>
      <c r="S26" s="672">
        <f>'Datu ievade'!R60+'Datu ievade'!R66</f>
        <v>0</v>
      </c>
      <c r="T26" s="672">
        <f>'Datu ievade'!S60+'Datu ievade'!S66</f>
        <v>0</v>
      </c>
      <c r="U26" s="672">
        <f>'Datu ievade'!T60+'Datu ievade'!T66</f>
        <v>0</v>
      </c>
      <c r="V26" s="672">
        <f>'Datu ievade'!U60+'Datu ievade'!U66</f>
        <v>0</v>
      </c>
      <c r="W26" s="672">
        <f>'Datu ievade'!V60+'Datu ievade'!V66</f>
        <v>0</v>
      </c>
      <c r="X26" s="672">
        <f>'Datu ievade'!W60+'Datu ievade'!W66</f>
        <v>0</v>
      </c>
      <c r="Y26" s="672">
        <f>'Datu ievade'!X60+'Datu ievade'!X66</f>
        <v>0</v>
      </c>
      <c r="Z26" s="672">
        <f>'Datu ievade'!Y60+'Datu ievade'!Y66</f>
        <v>0</v>
      </c>
      <c r="AA26" s="672">
        <f>'Datu ievade'!Z60+'Datu ievade'!Z66</f>
        <v>0</v>
      </c>
      <c r="AB26" s="672">
        <f>'Datu ievade'!AA60+'Datu ievade'!AA66</f>
        <v>0</v>
      </c>
      <c r="AC26" s="672">
        <f>'Datu ievade'!AB60+'Datu ievade'!AB66</f>
        <v>0</v>
      </c>
      <c r="AD26" s="672">
        <f>'Datu ievade'!AC60+'Datu ievade'!AC66</f>
        <v>0</v>
      </c>
      <c r="AE26" s="672">
        <f>'Datu ievade'!AD60+'Datu ievade'!AD66</f>
        <v>0</v>
      </c>
      <c r="AF26" s="672">
        <f>'Datu ievade'!AE60+'Datu ievade'!AE66</f>
        <v>0</v>
      </c>
      <c r="AG26" s="672">
        <f>'Datu ievade'!AF60+'Datu ievade'!AF66</f>
        <v>0</v>
      </c>
      <c r="AH26" s="672">
        <f>'Datu ievade'!AG60+'Datu ievade'!AG66</f>
        <v>0</v>
      </c>
      <c r="AI26" s="672">
        <f>'Datu ievade'!AH60+'Datu ievade'!AH66</f>
        <v>0</v>
      </c>
      <c r="AJ26" s="672">
        <f>'Datu ievade'!AI60+'Datu ievade'!AI66</f>
        <v>0</v>
      </c>
      <c r="AK26" s="672">
        <f>'Datu ievade'!AJ60+'Datu ievade'!AJ66</f>
        <v>0</v>
      </c>
      <c r="AL26" s="592"/>
    </row>
    <row r="27" spans="2:38" x14ac:dyDescent="0.2">
      <c r="B27" s="31" t="s">
        <v>461</v>
      </c>
      <c r="C27" s="672">
        <v>0</v>
      </c>
      <c r="D27" s="672">
        <f>'Datu ievade'!C61+'Datu ievade'!C72</f>
        <v>35700</v>
      </c>
      <c r="E27" s="672">
        <f>'Datu ievade'!D61+'Datu ievade'!D72</f>
        <v>0</v>
      </c>
      <c r="F27" s="672">
        <f>'Datu ievade'!E61+'Datu ievade'!E72</f>
        <v>0</v>
      </c>
      <c r="G27" s="672">
        <f>'Datu ievade'!F61+'Datu ievade'!F72</f>
        <v>0</v>
      </c>
      <c r="H27" s="672">
        <f>'Datu ievade'!G61+'Datu ievade'!G72</f>
        <v>0</v>
      </c>
      <c r="I27" s="672">
        <f>'Datu ievade'!H61+'Datu ievade'!H72</f>
        <v>0</v>
      </c>
      <c r="J27" s="672">
        <f>'Datu ievade'!I61+'Datu ievade'!I72</f>
        <v>0</v>
      </c>
      <c r="K27" s="672">
        <f>'Datu ievade'!J61+'Datu ievade'!J72</f>
        <v>0</v>
      </c>
      <c r="L27" s="672">
        <f>'Datu ievade'!K61+'Datu ievade'!K72</f>
        <v>0</v>
      </c>
      <c r="M27" s="672">
        <f>'Datu ievade'!L61+'Datu ievade'!L72</f>
        <v>0</v>
      </c>
      <c r="N27" s="672">
        <f>'Datu ievade'!M61+'Datu ievade'!M72</f>
        <v>0</v>
      </c>
      <c r="O27" s="672">
        <f>'Datu ievade'!N61+'Datu ievade'!N72</f>
        <v>0</v>
      </c>
      <c r="P27" s="672">
        <f>'Datu ievade'!O61+'Datu ievade'!O72</f>
        <v>0</v>
      </c>
      <c r="Q27" s="672">
        <f>'Datu ievade'!P61+'Datu ievade'!P72</f>
        <v>0</v>
      </c>
      <c r="R27" s="672">
        <f>'Datu ievade'!Q61+'Datu ievade'!Q72</f>
        <v>0</v>
      </c>
      <c r="S27" s="672">
        <f>'Datu ievade'!R61+'Datu ievade'!R72</f>
        <v>0</v>
      </c>
      <c r="T27" s="672">
        <f>'Datu ievade'!S61+'Datu ievade'!S72</f>
        <v>0</v>
      </c>
      <c r="U27" s="672">
        <f>'Datu ievade'!T61+'Datu ievade'!T72</f>
        <v>0</v>
      </c>
      <c r="V27" s="672">
        <f>'Datu ievade'!U61+'Datu ievade'!U72</f>
        <v>0</v>
      </c>
      <c r="W27" s="672">
        <f>'Datu ievade'!V61+'Datu ievade'!V72</f>
        <v>0</v>
      </c>
      <c r="X27" s="672">
        <f>'Datu ievade'!W61+'Datu ievade'!W72</f>
        <v>0</v>
      </c>
      <c r="Y27" s="672">
        <f>'Datu ievade'!X61+'Datu ievade'!X72</f>
        <v>0</v>
      </c>
      <c r="Z27" s="672">
        <f>'Datu ievade'!Y61+'Datu ievade'!Y72</f>
        <v>0</v>
      </c>
      <c r="AA27" s="672">
        <f>'Datu ievade'!Z61+'Datu ievade'!Z72</f>
        <v>0</v>
      </c>
      <c r="AB27" s="672">
        <f>'Datu ievade'!AA61+'Datu ievade'!AA72</f>
        <v>0</v>
      </c>
      <c r="AC27" s="672">
        <f>'Datu ievade'!AB61+'Datu ievade'!AB72</f>
        <v>0</v>
      </c>
      <c r="AD27" s="672">
        <f>'Datu ievade'!AC61+'Datu ievade'!AC72</f>
        <v>0</v>
      </c>
      <c r="AE27" s="672">
        <f>'Datu ievade'!AD61+'Datu ievade'!AD72</f>
        <v>0</v>
      </c>
      <c r="AF27" s="672">
        <f>'Datu ievade'!AE61+'Datu ievade'!AE72</f>
        <v>0</v>
      </c>
      <c r="AG27" s="672">
        <f>'Datu ievade'!AF61+'Datu ievade'!AF72</f>
        <v>0</v>
      </c>
      <c r="AH27" s="672">
        <f>'Datu ievade'!AG61+'Datu ievade'!AG72</f>
        <v>0</v>
      </c>
      <c r="AI27" s="672">
        <f>'Datu ievade'!AH61+'Datu ievade'!AH72</f>
        <v>0</v>
      </c>
      <c r="AJ27" s="672">
        <f>'Datu ievade'!AI61+'Datu ievade'!AI72</f>
        <v>0</v>
      </c>
      <c r="AK27" s="672">
        <f>'Datu ievade'!AJ61+'Datu ievade'!AJ72</f>
        <v>0</v>
      </c>
      <c r="AL27" s="592"/>
    </row>
    <row r="28" spans="2:38" x14ac:dyDescent="0.2">
      <c r="B28" s="31" t="s">
        <v>253</v>
      </c>
      <c r="C28" s="672">
        <v>0</v>
      </c>
      <c r="D28" s="672">
        <f>'Datu ievade'!C68</f>
        <v>30600</v>
      </c>
      <c r="E28" s="672">
        <f>'Datu ievade'!D68</f>
        <v>0</v>
      </c>
      <c r="F28" s="672">
        <f>'Datu ievade'!E68</f>
        <v>0</v>
      </c>
      <c r="G28" s="672">
        <f>'Datu ievade'!F68</f>
        <v>0</v>
      </c>
      <c r="H28" s="672">
        <f>'Datu ievade'!G68</f>
        <v>0</v>
      </c>
      <c r="I28" s="672">
        <f>'Datu ievade'!H68</f>
        <v>0</v>
      </c>
      <c r="J28" s="672">
        <f>'Datu ievade'!I68</f>
        <v>0</v>
      </c>
      <c r="K28" s="672">
        <f>'Datu ievade'!J68</f>
        <v>0</v>
      </c>
      <c r="L28" s="672">
        <f>'Datu ievade'!K68</f>
        <v>0</v>
      </c>
      <c r="M28" s="672">
        <f>'Datu ievade'!L68</f>
        <v>0</v>
      </c>
      <c r="N28" s="672">
        <f>'Datu ievade'!M68</f>
        <v>0</v>
      </c>
      <c r="O28" s="672">
        <f>'Datu ievade'!N68</f>
        <v>0</v>
      </c>
      <c r="P28" s="672">
        <f>'Datu ievade'!O68</f>
        <v>0</v>
      </c>
      <c r="Q28" s="672">
        <f>'Datu ievade'!P68</f>
        <v>0</v>
      </c>
      <c r="R28" s="672">
        <f>'Datu ievade'!Q68</f>
        <v>0</v>
      </c>
      <c r="S28" s="672">
        <f>'Datu ievade'!R68</f>
        <v>0</v>
      </c>
      <c r="T28" s="672">
        <f>'Datu ievade'!S68</f>
        <v>0</v>
      </c>
      <c r="U28" s="672">
        <f>'Datu ievade'!T68</f>
        <v>0</v>
      </c>
      <c r="V28" s="672">
        <f>'Datu ievade'!U68</f>
        <v>0</v>
      </c>
      <c r="W28" s="672">
        <f>'Datu ievade'!V68</f>
        <v>0</v>
      </c>
      <c r="X28" s="672">
        <f>'Datu ievade'!W68</f>
        <v>0</v>
      </c>
      <c r="Y28" s="672">
        <f>'Datu ievade'!X68</f>
        <v>0</v>
      </c>
      <c r="Z28" s="672">
        <f>'Datu ievade'!Y68</f>
        <v>0</v>
      </c>
      <c r="AA28" s="672">
        <f>'Datu ievade'!Z68</f>
        <v>0</v>
      </c>
      <c r="AB28" s="672">
        <f>'Datu ievade'!AA68</f>
        <v>0</v>
      </c>
      <c r="AC28" s="672">
        <f>'Datu ievade'!AB68</f>
        <v>0</v>
      </c>
      <c r="AD28" s="672">
        <f>'Datu ievade'!AC68</f>
        <v>0</v>
      </c>
      <c r="AE28" s="672">
        <f>'Datu ievade'!AD68</f>
        <v>0</v>
      </c>
      <c r="AF28" s="672">
        <f>'Datu ievade'!AE68</f>
        <v>0</v>
      </c>
      <c r="AG28" s="672">
        <f>'Datu ievade'!AF68</f>
        <v>0</v>
      </c>
      <c r="AH28" s="672">
        <f>'Datu ievade'!AG68</f>
        <v>0</v>
      </c>
      <c r="AI28" s="672">
        <f>'Datu ievade'!AH68</f>
        <v>0</v>
      </c>
      <c r="AJ28" s="672">
        <f>'Datu ievade'!AI68</f>
        <v>0</v>
      </c>
      <c r="AK28" s="672">
        <f>'Datu ievade'!AJ68</f>
        <v>0</v>
      </c>
      <c r="AL28" s="592"/>
    </row>
    <row r="29" spans="2:38" x14ac:dyDescent="0.2">
      <c r="B29" s="31" t="s">
        <v>23</v>
      </c>
      <c r="C29" s="672">
        <v>0</v>
      </c>
      <c r="D29" s="672">
        <f>'Datu ievade'!C62+'Datu ievade'!C73</f>
        <v>51782.85</v>
      </c>
      <c r="E29" s="672">
        <f>'Datu ievade'!D62+'Datu ievade'!D73</f>
        <v>7644</v>
      </c>
      <c r="F29" s="672">
        <f>'Datu ievade'!E62+'Datu ievade'!E73</f>
        <v>0</v>
      </c>
      <c r="G29" s="672">
        <f>'Datu ievade'!F62+'Datu ievade'!F73</f>
        <v>0</v>
      </c>
      <c r="H29" s="672">
        <f>'Datu ievade'!G62+'Datu ievade'!G73</f>
        <v>0</v>
      </c>
      <c r="I29" s="672">
        <f>'Datu ievade'!H62+'Datu ievade'!H73</f>
        <v>0</v>
      </c>
      <c r="J29" s="672">
        <f>'Datu ievade'!I62+'Datu ievade'!I73</f>
        <v>0</v>
      </c>
      <c r="K29" s="672">
        <f>'Datu ievade'!J62+'Datu ievade'!J73</f>
        <v>0</v>
      </c>
      <c r="L29" s="672">
        <f>'Datu ievade'!K62+'Datu ievade'!K73</f>
        <v>0</v>
      </c>
      <c r="M29" s="672">
        <f>'Datu ievade'!L62+'Datu ievade'!L73</f>
        <v>0</v>
      </c>
      <c r="N29" s="672">
        <f>'Datu ievade'!M62+'Datu ievade'!M73</f>
        <v>0</v>
      </c>
      <c r="O29" s="672">
        <f>'Datu ievade'!N62+'Datu ievade'!N73</f>
        <v>0</v>
      </c>
      <c r="P29" s="672">
        <f>'Datu ievade'!O62+'Datu ievade'!O73</f>
        <v>0</v>
      </c>
      <c r="Q29" s="672">
        <f>'Datu ievade'!P62+'Datu ievade'!P73</f>
        <v>0</v>
      </c>
      <c r="R29" s="672">
        <f>'Datu ievade'!Q62+'Datu ievade'!Q73</f>
        <v>0</v>
      </c>
      <c r="S29" s="672">
        <f>'Datu ievade'!R62+'Datu ievade'!R73</f>
        <v>0</v>
      </c>
      <c r="T29" s="672">
        <f>'Datu ievade'!S62+'Datu ievade'!S73</f>
        <v>0</v>
      </c>
      <c r="U29" s="672">
        <f>'Datu ievade'!T62+'Datu ievade'!T73</f>
        <v>0</v>
      </c>
      <c r="V29" s="672">
        <f>'Datu ievade'!U62+'Datu ievade'!U73</f>
        <v>0</v>
      </c>
      <c r="W29" s="672">
        <f>'Datu ievade'!V62+'Datu ievade'!V73</f>
        <v>0</v>
      </c>
      <c r="X29" s="672">
        <f>'Datu ievade'!W62+'Datu ievade'!W73</f>
        <v>0</v>
      </c>
      <c r="Y29" s="672">
        <f>'Datu ievade'!X62+'Datu ievade'!X73</f>
        <v>0</v>
      </c>
      <c r="Z29" s="672">
        <f>'Datu ievade'!Y62+'Datu ievade'!Y73</f>
        <v>0</v>
      </c>
      <c r="AA29" s="672">
        <f>'Datu ievade'!Z62+'Datu ievade'!Z73</f>
        <v>0</v>
      </c>
      <c r="AB29" s="672">
        <f>'Datu ievade'!AA62+'Datu ievade'!AA73</f>
        <v>0</v>
      </c>
      <c r="AC29" s="672">
        <f>'Datu ievade'!AB62+'Datu ievade'!AB73</f>
        <v>0</v>
      </c>
      <c r="AD29" s="672">
        <f>'Datu ievade'!AC62+'Datu ievade'!AC73</f>
        <v>0</v>
      </c>
      <c r="AE29" s="672">
        <f>'Datu ievade'!AD62+'Datu ievade'!AD73</f>
        <v>0</v>
      </c>
      <c r="AF29" s="672">
        <f>'Datu ievade'!AE62+'Datu ievade'!AE73</f>
        <v>0</v>
      </c>
      <c r="AG29" s="672">
        <f>'Datu ievade'!AF62+'Datu ievade'!AF73</f>
        <v>0</v>
      </c>
      <c r="AH29" s="672">
        <f>'Datu ievade'!AG62+'Datu ievade'!AG73</f>
        <v>0</v>
      </c>
      <c r="AI29" s="672">
        <f>'Datu ievade'!AH62+'Datu ievade'!AH73</f>
        <v>0</v>
      </c>
      <c r="AJ29" s="672">
        <f>'Datu ievade'!AI62+'Datu ievade'!AI73</f>
        <v>0</v>
      </c>
      <c r="AK29" s="672">
        <f>'Datu ievade'!AJ62+'Datu ievade'!AJ73</f>
        <v>0</v>
      </c>
      <c r="AL29" s="592"/>
    </row>
    <row r="30" spans="2:38" x14ac:dyDescent="0.2">
      <c r="C30" s="672"/>
      <c r="D30" s="672"/>
      <c r="E30" s="672"/>
      <c r="F30" s="672"/>
      <c r="G30" s="672"/>
      <c r="H30" s="672"/>
      <c r="I30" s="672"/>
      <c r="J30" s="672"/>
      <c r="K30" s="672"/>
      <c r="L30" s="672"/>
      <c r="M30" s="672"/>
      <c r="N30" s="672"/>
      <c r="O30" s="672"/>
      <c r="P30" s="672"/>
      <c r="Q30" s="672"/>
      <c r="R30" s="672"/>
      <c r="S30" s="672"/>
      <c r="T30" s="672"/>
      <c r="U30" s="672"/>
      <c r="V30" s="672"/>
      <c r="W30" s="672"/>
      <c r="X30" s="672"/>
      <c r="Y30" s="672"/>
      <c r="Z30" s="672"/>
      <c r="AA30" s="672"/>
      <c r="AB30" s="672"/>
      <c r="AC30" s="672"/>
      <c r="AD30" s="672"/>
      <c r="AE30" s="672"/>
      <c r="AF30" s="672"/>
      <c r="AG30" s="672"/>
      <c r="AH30" s="672"/>
      <c r="AI30" s="672"/>
      <c r="AJ30" s="672"/>
      <c r="AK30" s="672"/>
    </row>
    <row r="31" spans="2:38" s="770" customFormat="1" x14ac:dyDescent="0.2">
      <c r="C31" s="770">
        <f>C2</f>
        <v>2019</v>
      </c>
      <c r="D31" s="770">
        <f>C31+1</f>
        <v>2020</v>
      </c>
      <c r="E31" s="770">
        <f>D31+1</f>
        <v>2021</v>
      </c>
      <c r="F31" s="770">
        <f t="shared" ref="F31" si="7">E31+1</f>
        <v>2022</v>
      </c>
      <c r="G31" s="770">
        <f t="shared" ref="G31" si="8">F31+1</f>
        <v>2023</v>
      </c>
      <c r="H31" s="770">
        <f t="shared" ref="H31" si="9">G31+1</f>
        <v>2024</v>
      </c>
      <c r="I31" s="770">
        <f t="shared" ref="I31" si="10">H31+1</f>
        <v>2025</v>
      </c>
      <c r="J31" s="770">
        <f t="shared" ref="J31" si="11">I31+1</f>
        <v>2026</v>
      </c>
      <c r="K31" s="770">
        <f t="shared" ref="K31" si="12">J31+1</f>
        <v>2027</v>
      </c>
      <c r="L31" s="770">
        <f t="shared" ref="L31" si="13">K31+1</f>
        <v>2028</v>
      </c>
      <c r="M31" s="770">
        <f t="shared" ref="M31" si="14">L31+1</f>
        <v>2029</v>
      </c>
      <c r="N31" s="770">
        <f t="shared" ref="N31" si="15">M31+1</f>
        <v>2030</v>
      </c>
      <c r="O31" s="770">
        <f t="shared" ref="O31" si="16">N31+1</f>
        <v>2031</v>
      </c>
      <c r="P31" s="770">
        <f t="shared" ref="P31" si="17">O31+1</f>
        <v>2032</v>
      </c>
      <c r="Q31" s="770">
        <f t="shared" ref="Q31" si="18">P31+1</f>
        <v>2033</v>
      </c>
      <c r="R31" s="770">
        <f t="shared" ref="R31" si="19">Q31+1</f>
        <v>2034</v>
      </c>
      <c r="S31" s="770">
        <f t="shared" ref="S31" si="20">R31+1</f>
        <v>2035</v>
      </c>
      <c r="T31" s="770">
        <f t="shared" ref="T31" si="21">S31+1</f>
        <v>2036</v>
      </c>
      <c r="U31" s="770">
        <f t="shared" ref="U31" si="22">T31+1</f>
        <v>2037</v>
      </c>
      <c r="V31" s="770">
        <f t="shared" ref="V31" si="23">U31+1</f>
        <v>2038</v>
      </c>
      <c r="W31" s="770">
        <f t="shared" ref="W31" si="24">V31+1</f>
        <v>2039</v>
      </c>
      <c r="X31" s="770">
        <f t="shared" ref="X31" si="25">W31+1</f>
        <v>2040</v>
      </c>
      <c r="Y31" s="770">
        <f t="shared" ref="Y31" si="26">X31+1</f>
        <v>2041</v>
      </c>
      <c r="Z31" s="770">
        <f t="shared" ref="Z31" si="27">Y31+1</f>
        <v>2042</v>
      </c>
      <c r="AA31" s="770">
        <f t="shared" ref="AA31" si="28">Z31+1</f>
        <v>2043</v>
      </c>
      <c r="AB31" s="770">
        <f t="shared" ref="AB31" si="29">AA31+1</f>
        <v>2044</v>
      </c>
      <c r="AC31" s="770">
        <f t="shared" ref="AC31" si="30">AB31+1</f>
        <v>2045</v>
      </c>
      <c r="AD31" s="770">
        <f t="shared" ref="AD31" si="31">AC31+1</f>
        <v>2046</v>
      </c>
      <c r="AE31" s="770">
        <f t="shared" ref="AE31" si="32">AD31+1</f>
        <v>2047</v>
      </c>
      <c r="AF31" s="770">
        <f t="shared" ref="AF31" si="33">AE31+1</f>
        <v>2048</v>
      </c>
      <c r="AG31" s="770">
        <f t="shared" ref="AG31" si="34">AF31+1</f>
        <v>2049</v>
      </c>
      <c r="AH31" s="770">
        <f t="shared" ref="AH31" si="35">AG31+1</f>
        <v>2050</v>
      </c>
      <c r="AI31" s="770">
        <f t="shared" ref="AI31" si="36">AH31+1</f>
        <v>2051</v>
      </c>
      <c r="AJ31" s="770">
        <f>AI31+1</f>
        <v>2052</v>
      </c>
      <c r="AK31" s="770">
        <f>AJ31+1</f>
        <v>2053</v>
      </c>
    </row>
    <row r="32" spans="2:38" x14ac:dyDescent="0.2">
      <c r="B32" s="593" t="s">
        <v>29</v>
      </c>
      <c r="C32" s="672"/>
      <c r="D32" s="672"/>
      <c r="E32" s="672"/>
      <c r="F32" s="672"/>
      <c r="G32" s="672"/>
      <c r="H32" s="672"/>
      <c r="I32" s="672"/>
      <c r="J32" s="672"/>
      <c r="K32" s="672"/>
      <c r="L32" s="672"/>
      <c r="M32" s="672"/>
      <c r="N32" s="672"/>
      <c r="O32" s="672"/>
      <c r="P32" s="672"/>
      <c r="Q32" s="672"/>
      <c r="R32" s="672"/>
      <c r="S32" s="672"/>
      <c r="T32" s="672"/>
      <c r="U32" s="672"/>
      <c r="V32" s="672"/>
      <c r="W32" s="672"/>
      <c r="X32" s="672"/>
      <c r="Y32" s="672"/>
      <c r="Z32" s="672"/>
      <c r="AA32" s="672"/>
      <c r="AB32" s="672"/>
      <c r="AC32" s="672"/>
      <c r="AD32" s="672"/>
      <c r="AE32" s="672"/>
      <c r="AF32" s="672"/>
      <c r="AG32" s="672"/>
      <c r="AH32" s="672"/>
      <c r="AI32" s="672"/>
      <c r="AJ32" s="672"/>
      <c r="AK32" s="672"/>
    </row>
    <row r="33" spans="2:38" x14ac:dyDescent="0.2">
      <c r="B33" s="31" t="s">
        <v>30</v>
      </c>
      <c r="C33" s="672"/>
      <c r="D33" s="672"/>
      <c r="E33" s="672"/>
      <c r="F33" s="672"/>
      <c r="G33" s="672"/>
      <c r="H33" s="672"/>
      <c r="I33" s="672"/>
      <c r="J33" s="672"/>
      <c r="K33" s="672"/>
      <c r="L33" s="672"/>
      <c r="M33" s="672"/>
      <c r="N33" s="672"/>
      <c r="O33" s="672"/>
      <c r="P33" s="672"/>
      <c r="Q33" s="672"/>
      <c r="R33" s="672"/>
      <c r="S33" s="672"/>
      <c r="T33" s="672"/>
      <c r="U33" s="672"/>
      <c r="V33" s="672"/>
      <c r="W33" s="672"/>
      <c r="X33" s="672"/>
      <c r="Y33" s="672"/>
      <c r="Z33" s="672"/>
      <c r="AA33" s="672"/>
      <c r="AB33" s="672"/>
      <c r="AC33" s="672"/>
      <c r="AD33" s="672"/>
      <c r="AE33" s="672"/>
      <c r="AF33" s="672"/>
      <c r="AG33" s="672"/>
      <c r="AH33" s="672"/>
      <c r="AI33" s="672"/>
      <c r="AJ33" s="672"/>
      <c r="AK33" s="672"/>
    </row>
    <row r="34" spans="2:38" x14ac:dyDescent="0.2">
      <c r="B34" s="31" t="s">
        <v>31</v>
      </c>
      <c r="C34" s="672">
        <f>'Datu ievade'!B101</f>
        <v>50000</v>
      </c>
      <c r="D34" s="672">
        <f>'Datu ievade'!C101</f>
        <v>50000</v>
      </c>
      <c r="E34" s="672">
        <f>'Datu ievade'!D101</f>
        <v>55000</v>
      </c>
      <c r="F34" s="672">
        <f>'Datu ievade'!E101</f>
        <v>55000</v>
      </c>
      <c r="G34" s="672">
        <f>'Datu ievade'!F101</f>
        <v>55000</v>
      </c>
      <c r="H34" s="672">
        <f>'Datu ievade'!G101</f>
        <v>55000</v>
      </c>
      <c r="I34" s="672">
        <f>'Datu ievade'!H101</f>
        <v>55000</v>
      </c>
      <c r="J34" s="672">
        <f>'Datu ievade'!I101</f>
        <v>55000</v>
      </c>
      <c r="K34" s="672">
        <f>'Datu ievade'!J101</f>
        <v>55000</v>
      </c>
      <c r="L34" s="672">
        <f>'Datu ievade'!K101</f>
        <v>55000</v>
      </c>
      <c r="M34" s="672">
        <f>'Datu ievade'!L101</f>
        <v>55000</v>
      </c>
      <c r="N34" s="672">
        <f>'Datu ievade'!M101</f>
        <v>55000</v>
      </c>
      <c r="O34" s="672">
        <f>'Datu ievade'!N101</f>
        <v>55000</v>
      </c>
      <c r="P34" s="672">
        <f>'Datu ievade'!O101</f>
        <v>55000</v>
      </c>
      <c r="Q34" s="672">
        <f>'Datu ievade'!P101</f>
        <v>55000</v>
      </c>
      <c r="R34" s="672">
        <f>'Datu ievade'!Q101</f>
        <v>55000</v>
      </c>
      <c r="S34" s="672">
        <f>'Datu ievade'!R101</f>
        <v>55000</v>
      </c>
      <c r="T34" s="672">
        <f>'Datu ievade'!S101</f>
        <v>55000</v>
      </c>
      <c r="U34" s="672">
        <f>'Datu ievade'!T101</f>
        <v>55000</v>
      </c>
      <c r="V34" s="672">
        <f>'Datu ievade'!U101</f>
        <v>55000</v>
      </c>
      <c r="W34" s="672">
        <f>'Datu ievade'!V101</f>
        <v>55000</v>
      </c>
      <c r="X34" s="672">
        <f>'Datu ievade'!W101</f>
        <v>55000</v>
      </c>
      <c r="Y34" s="672">
        <f>'Datu ievade'!X101</f>
        <v>55000</v>
      </c>
      <c r="Z34" s="672">
        <f>'Datu ievade'!Y101</f>
        <v>55000</v>
      </c>
      <c r="AA34" s="672">
        <f>'Datu ievade'!Z101</f>
        <v>55000</v>
      </c>
      <c r="AB34" s="672">
        <f>'Datu ievade'!AA101</f>
        <v>55000</v>
      </c>
      <c r="AC34" s="672">
        <f>'Datu ievade'!AB101</f>
        <v>55000</v>
      </c>
      <c r="AD34" s="672">
        <f>'Datu ievade'!AC101</f>
        <v>55000</v>
      </c>
      <c r="AE34" s="672">
        <f>'Datu ievade'!AD101</f>
        <v>55000</v>
      </c>
      <c r="AF34" s="672">
        <f>'Datu ievade'!AE101</f>
        <v>55000</v>
      </c>
      <c r="AG34" s="672">
        <f>'Datu ievade'!AF101</f>
        <v>55000</v>
      </c>
      <c r="AH34" s="672">
        <f>'Datu ievade'!AG101</f>
        <v>55000</v>
      </c>
      <c r="AI34" s="672">
        <f>'Datu ievade'!AH101</f>
        <v>55000</v>
      </c>
      <c r="AJ34" s="672">
        <f>'Datu ievade'!AI101</f>
        <v>55000</v>
      </c>
      <c r="AK34" s="672">
        <f>'Datu ievade'!AJ101</f>
        <v>50000</v>
      </c>
      <c r="AL34" s="592"/>
    </row>
    <row r="35" spans="2:38" x14ac:dyDescent="0.2">
      <c r="B35" s="31" t="s">
        <v>32</v>
      </c>
      <c r="C35" s="672">
        <f>'Datu ievade'!B102</f>
        <v>41814</v>
      </c>
      <c r="D35" s="672">
        <f>'Datu ievade'!C102</f>
        <v>41814</v>
      </c>
      <c r="E35" s="672">
        <f>'Datu ievade'!D102</f>
        <v>42000</v>
      </c>
      <c r="F35" s="672">
        <f>'Datu ievade'!E102</f>
        <v>42000</v>
      </c>
      <c r="G35" s="672">
        <f>'Datu ievade'!F102</f>
        <v>42000</v>
      </c>
      <c r="H35" s="672">
        <f>'Datu ievade'!G102</f>
        <v>42000</v>
      </c>
      <c r="I35" s="672">
        <f>'Datu ievade'!H102</f>
        <v>42000</v>
      </c>
      <c r="J35" s="672">
        <f>'Datu ievade'!I102</f>
        <v>42000</v>
      </c>
      <c r="K35" s="672">
        <f>'Datu ievade'!J102</f>
        <v>42000</v>
      </c>
      <c r="L35" s="672">
        <f>'Datu ievade'!K102</f>
        <v>42000</v>
      </c>
      <c r="M35" s="672">
        <f>'Datu ievade'!L102</f>
        <v>42000</v>
      </c>
      <c r="N35" s="672">
        <f>'Datu ievade'!M102</f>
        <v>42000</v>
      </c>
      <c r="O35" s="672">
        <f>'Datu ievade'!N102</f>
        <v>42000</v>
      </c>
      <c r="P35" s="672">
        <f>'Datu ievade'!O102</f>
        <v>42000</v>
      </c>
      <c r="Q35" s="672">
        <f>'Datu ievade'!P102</f>
        <v>42000</v>
      </c>
      <c r="R35" s="672">
        <f>'Datu ievade'!Q102</f>
        <v>42000</v>
      </c>
      <c r="S35" s="672">
        <f>'Datu ievade'!R102</f>
        <v>42000</v>
      </c>
      <c r="T35" s="672">
        <f>'Datu ievade'!S102</f>
        <v>42000</v>
      </c>
      <c r="U35" s="672">
        <f>'Datu ievade'!T102</f>
        <v>42000</v>
      </c>
      <c r="V35" s="672">
        <f>'Datu ievade'!U102</f>
        <v>42000</v>
      </c>
      <c r="W35" s="672">
        <f>'Datu ievade'!V102</f>
        <v>42000</v>
      </c>
      <c r="X35" s="672">
        <f>'Datu ievade'!W102</f>
        <v>42000</v>
      </c>
      <c r="Y35" s="672">
        <f>'Datu ievade'!X102</f>
        <v>42000</v>
      </c>
      <c r="Z35" s="672">
        <f>'Datu ievade'!Y102</f>
        <v>42000</v>
      </c>
      <c r="AA35" s="672">
        <f>'Datu ievade'!Z102</f>
        <v>42000</v>
      </c>
      <c r="AB35" s="672">
        <f>'Datu ievade'!AA102</f>
        <v>42000</v>
      </c>
      <c r="AC35" s="672">
        <f>'Datu ievade'!AB102</f>
        <v>42000</v>
      </c>
      <c r="AD35" s="672">
        <f>'Datu ievade'!AC102</f>
        <v>42000</v>
      </c>
      <c r="AE35" s="672">
        <f>'Datu ievade'!AD102</f>
        <v>42000</v>
      </c>
      <c r="AF35" s="672">
        <f>'Datu ievade'!AE102</f>
        <v>42000</v>
      </c>
      <c r="AG35" s="672">
        <f>'Datu ievade'!AF102</f>
        <v>42000</v>
      </c>
      <c r="AH35" s="672">
        <f>'Datu ievade'!AG102</f>
        <v>42000</v>
      </c>
      <c r="AI35" s="672">
        <f>'Datu ievade'!AH102</f>
        <v>42000</v>
      </c>
      <c r="AJ35" s="672">
        <f>'Datu ievade'!AI102</f>
        <v>42000</v>
      </c>
      <c r="AK35" s="672">
        <f>'Datu ievade'!AJ102</f>
        <v>41814</v>
      </c>
      <c r="AL35" s="592"/>
    </row>
    <row r="36" spans="2:38" x14ac:dyDescent="0.2">
      <c r="B36" s="31" t="s">
        <v>33</v>
      </c>
      <c r="C36" s="672">
        <f>'Datu ievade'!B103</f>
        <v>18409.27</v>
      </c>
      <c r="D36" s="672">
        <f>'Datu ievade'!C103</f>
        <v>18409.27</v>
      </c>
      <c r="E36" s="672">
        <f>'Datu ievade'!D103</f>
        <v>19000</v>
      </c>
      <c r="F36" s="672">
        <f>'Datu ievade'!E103</f>
        <v>19000</v>
      </c>
      <c r="G36" s="672">
        <f>'Datu ievade'!F103</f>
        <v>19000</v>
      </c>
      <c r="H36" s="672">
        <f>'Datu ievade'!G103</f>
        <v>19000</v>
      </c>
      <c r="I36" s="672">
        <f>'Datu ievade'!H103</f>
        <v>19000</v>
      </c>
      <c r="J36" s="672">
        <f>'Datu ievade'!I103</f>
        <v>19000</v>
      </c>
      <c r="K36" s="672">
        <f>'Datu ievade'!J103</f>
        <v>19000</v>
      </c>
      <c r="L36" s="672">
        <f>'Datu ievade'!K103</f>
        <v>19000</v>
      </c>
      <c r="M36" s="672">
        <f>'Datu ievade'!L103</f>
        <v>19000</v>
      </c>
      <c r="N36" s="672">
        <f>'Datu ievade'!M103</f>
        <v>19000</v>
      </c>
      <c r="O36" s="672">
        <f>'Datu ievade'!N103</f>
        <v>19000</v>
      </c>
      <c r="P36" s="672">
        <f>'Datu ievade'!O103</f>
        <v>19000</v>
      </c>
      <c r="Q36" s="672">
        <f>'Datu ievade'!P103</f>
        <v>19000</v>
      </c>
      <c r="R36" s="672">
        <f>'Datu ievade'!Q103</f>
        <v>19000</v>
      </c>
      <c r="S36" s="672">
        <f>'Datu ievade'!R103</f>
        <v>19000</v>
      </c>
      <c r="T36" s="672">
        <f>'Datu ievade'!S103</f>
        <v>19000</v>
      </c>
      <c r="U36" s="672">
        <f>'Datu ievade'!T103</f>
        <v>19000</v>
      </c>
      <c r="V36" s="672">
        <f>'Datu ievade'!U103</f>
        <v>19000</v>
      </c>
      <c r="W36" s="672">
        <f>'Datu ievade'!V103</f>
        <v>19000</v>
      </c>
      <c r="X36" s="672">
        <f>'Datu ievade'!W103</f>
        <v>19000</v>
      </c>
      <c r="Y36" s="672">
        <f>'Datu ievade'!X103</f>
        <v>19000</v>
      </c>
      <c r="Z36" s="672">
        <f>'Datu ievade'!Y103</f>
        <v>19000</v>
      </c>
      <c r="AA36" s="672">
        <f>'Datu ievade'!Z103</f>
        <v>19000</v>
      </c>
      <c r="AB36" s="672">
        <f>'Datu ievade'!AA103</f>
        <v>19000</v>
      </c>
      <c r="AC36" s="672">
        <f>'Datu ievade'!AB103</f>
        <v>19000</v>
      </c>
      <c r="AD36" s="672">
        <f>'Datu ievade'!AC103</f>
        <v>19000</v>
      </c>
      <c r="AE36" s="672">
        <f>'Datu ievade'!AD103</f>
        <v>19000</v>
      </c>
      <c r="AF36" s="672">
        <f>'Datu ievade'!AE103</f>
        <v>19000</v>
      </c>
      <c r="AG36" s="672">
        <f>'Datu ievade'!AF103</f>
        <v>19000</v>
      </c>
      <c r="AH36" s="672">
        <f>'Datu ievade'!AG103</f>
        <v>19000</v>
      </c>
      <c r="AI36" s="672">
        <f>'Datu ievade'!AH103</f>
        <v>19000</v>
      </c>
      <c r="AJ36" s="672">
        <f>'Datu ievade'!AI103</f>
        <v>19000</v>
      </c>
      <c r="AK36" s="672">
        <f>'Datu ievade'!AJ103</f>
        <v>18409.27</v>
      </c>
      <c r="AL36" s="592"/>
    </row>
    <row r="37" spans="2:38" x14ac:dyDescent="0.2">
      <c r="B37" s="31" t="s">
        <v>34</v>
      </c>
      <c r="C37" s="672">
        <f>'Datu ievade'!B104</f>
        <v>40894.9</v>
      </c>
      <c r="D37" s="672">
        <f>'Datu ievade'!C104</f>
        <v>40894.9</v>
      </c>
      <c r="E37" s="672">
        <f>'Datu ievade'!D104</f>
        <v>41000</v>
      </c>
      <c r="F37" s="672">
        <f>'Datu ievade'!E104</f>
        <v>41000</v>
      </c>
      <c r="G37" s="672">
        <f>'Datu ievade'!F104</f>
        <v>41000</v>
      </c>
      <c r="H37" s="672">
        <f>'Datu ievade'!G104</f>
        <v>41000</v>
      </c>
      <c r="I37" s="672">
        <f>'Datu ievade'!H104</f>
        <v>41000</v>
      </c>
      <c r="J37" s="672">
        <f>'Datu ievade'!I104</f>
        <v>41000</v>
      </c>
      <c r="K37" s="672">
        <f>'Datu ievade'!J104</f>
        <v>41000</v>
      </c>
      <c r="L37" s="672">
        <f>'Datu ievade'!K104</f>
        <v>41000</v>
      </c>
      <c r="M37" s="672">
        <f>'Datu ievade'!L104</f>
        <v>41000</v>
      </c>
      <c r="N37" s="672">
        <f>'Datu ievade'!M104</f>
        <v>41000</v>
      </c>
      <c r="O37" s="672">
        <f>'Datu ievade'!N104</f>
        <v>41000</v>
      </c>
      <c r="P37" s="672">
        <f>'Datu ievade'!O104</f>
        <v>41000</v>
      </c>
      <c r="Q37" s="672">
        <f>'Datu ievade'!P104</f>
        <v>41000</v>
      </c>
      <c r="R37" s="672">
        <f>'Datu ievade'!Q104</f>
        <v>41000</v>
      </c>
      <c r="S37" s="672">
        <f>'Datu ievade'!R104</f>
        <v>41000</v>
      </c>
      <c r="T37" s="672">
        <f>'Datu ievade'!S104</f>
        <v>41000</v>
      </c>
      <c r="U37" s="672">
        <f>'Datu ievade'!T104</f>
        <v>41000</v>
      </c>
      <c r="V37" s="672">
        <f>'Datu ievade'!U104</f>
        <v>41000</v>
      </c>
      <c r="W37" s="672">
        <f>'Datu ievade'!V104</f>
        <v>41000</v>
      </c>
      <c r="X37" s="672">
        <f>'Datu ievade'!W104</f>
        <v>41000</v>
      </c>
      <c r="Y37" s="672">
        <f>'Datu ievade'!X104</f>
        <v>41000</v>
      </c>
      <c r="Z37" s="672">
        <f>'Datu ievade'!Y104</f>
        <v>41000</v>
      </c>
      <c r="AA37" s="672">
        <f>'Datu ievade'!Z104</f>
        <v>41000</v>
      </c>
      <c r="AB37" s="672">
        <f>'Datu ievade'!AA104</f>
        <v>41000</v>
      </c>
      <c r="AC37" s="672">
        <f>'Datu ievade'!AB104</f>
        <v>41000</v>
      </c>
      <c r="AD37" s="672">
        <f>'Datu ievade'!AC104</f>
        <v>41000</v>
      </c>
      <c r="AE37" s="672">
        <f>'Datu ievade'!AD104</f>
        <v>41000</v>
      </c>
      <c r="AF37" s="672">
        <f>'Datu ievade'!AE104</f>
        <v>41000</v>
      </c>
      <c r="AG37" s="672">
        <f>'Datu ievade'!AF104</f>
        <v>41000</v>
      </c>
      <c r="AH37" s="672">
        <f>'Datu ievade'!AG104</f>
        <v>41000</v>
      </c>
      <c r="AI37" s="672">
        <f>'Datu ievade'!AH104</f>
        <v>41000</v>
      </c>
      <c r="AJ37" s="672">
        <f>'Datu ievade'!AI104</f>
        <v>41000</v>
      </c>
      <c r="AK37" s="672">
        <f>'Datu ievade'!AJ104</f>
        <v>40894.9</v>
      </c>
      <c r="AL37" s="592"/>
    </row>
    <row r="38" spans="2:38" x14ac:dyDescent="0.2">
      <c r="B38" s="31" t="s">
        <v>619</v>
      </c>
      <c r="C38" s="672">
        <f>'Datu ievade'!B105</f>
        <v>7085.15</v>
      </c>
      <c r="D38" s="672">
        <f>'Datu ievade'!C105</f>
        <v>7085.15</v>
      </c>
      <c r="E38" s="672">
        <f>'Datu ievade'!D105</f>
        <v>8000</v>
      </c>
      <c r="F38" s="672">
        <f>'Datu ievade'!E105</f>
        <v>8000</v>
      </c>
      <c r="G38" s="672">
        <f>'Datu ievade'!F105</f>
        <v>8000</v>
      </c>
      <c r="H38" s="672">
        <f>'Datu ievade'!G105</f>
        <v>8000</v>
      </c>
      <c r="I38" s="672">
        <f>'Datu ievade'!H105</f>
        <v>8000</v>
      </c>
      <c r="J38" s="672">
        <f>'Datu ievade'!I105</f>
        <v>8000</v>
      </c>
      <c r="K38" s="672">
        <f>'Datu ievade'!J105</f>
        <v>8000</v>
      </c>
      <c r="L38" s="672">
        <f>'Datu ievade'!K105</f>
        <v>8000</v>
      </c>
      <c r="M38" s="672">
        <f>'Datu ievade'!L105</f>
        <v>8000</v>
      </c>
      <c r="N38" s="672">
        <f>'Datu ievade'!M105</f>
        <v>8000</v>
      </c>
      <c r="O38" s="672">
        <f>'Datu ievade'!N105</f>
        <v>8000</v>
      </c>
      <c r="P38" s="672">
        <f>'Datu ievade'!O105</f>
        <v>8000</v>
      </c>
      <c r="Q38" s="672">
        <f>'Datu ievade'!P105</f>
        <v>8000</v>
      </c>
      <c r="R38" s="672">
        <f>'Datu ievade'!Q105</f>
        <v>8000</v>
      </c>
      <c r="S38" s="672">
        <f>'Datu ievade'!R105</f>
        <v>8000</v>
      </c>
      <c r="T38" s="672">
        <f>'Datu ievade'!S105</f>
        <v>8000</v>
      </c>
      <c r="U38" s="672">
        <f>'Datu ievade'!T105</f>
        <v>8000</v>
      </c>
      <c r="V38" s="672">
        <f>'Datu ievade'!U105</f>
        <v>8000</v>
      </c>
      <c r="W38" s="672">
        <f>'Datu ievade'!V105</f>
        <v>8000</v>
      </c>
      <c r="X38" s="672">
        <f>'Datu ievade'!W105</f>
        <v>8000</v>
      </c>
      <c r="Y38" s="672">
        <f>'Datu ievade'!X105</f>
        <v>8000</v>
      </c>
      <c r="Z38" s="672">
        <f>'Datu ievade'!Y105</f>
        <v>8000</v>
      </c>
      <c r="AA38" s="672">
        <f>'Datu ievade'!Z105</f>
        <v>8000</v>
      </c>
      <c r="AB38" s="672">
        <f>'Datu ievade'!AA105</f>
        <v>8000</v>
      </c>
      <c r="AC38" s="672">
        <f>'Datu ievade'!AB105</f>
        <v>8000</v>
      </c>
      <c r="AD38" s="672">
        <f>'Datu ievade'!AC105</f>
        <v>8000</v>
      </c>
      <c r="AE38" s="672">
        <f>'Datu ievade'!AD105</f>
        <v>8000</v>
      </c>
      <c r="AF38" s="672">
        <f>'Datu ievade'!AE105</f>
        <v>8000</v>
      </c>
      <c r="AG38" s="672">
        <f>'Datu ievade'!AF105</f>
        <v>8000</v>
      </c>
      <c r="AH38" s="672">
        <f>'Datu ievade'!AG105</f>
        <v>8000</v>
      </c>
      <c r="AI38" s="672">
        <f>'Datu ievade'!AH105</f>
        <v>8000</v>
      </c>
      <c r="AJ38" s="672">
        <f>'Datu ievade'!AI105</f>
        <v>8000</v>
      </c>
      <c r="AK38" s="672">
        <f>'Datu ievade'!AJ105</f>
        <v>7085.15</v>
      </c>
      <c r="AL38" s="592"/>
    </row>
    <row r="39" spans="2:38" x14ac:dyDescent="0.2">
      <c r="B39" s="31" t="str">
        <f>'Datu ievade'!A106</f>
        <v xml:space="preserve">    Atkārtotās investīcijas pamatlīdzekļos:</v>
      </c>
      <c r="C39" s="672">
        <f>'Datu ievade'!B106</f>
        <v>0</v>
      </c>
      <c r="D39" s="672">
        <f>'Datu ievade'!C106</f>
        <v>0</v>
      </c>
      <c r="E39" s="672">
        <f>'Datu ievade'!D106</f>
        <v>0</v>
      </c>
      <c r="F39" s="672">
        <f>'Datu ievade'!E106</f>
        <v>0</v>
      </c>
      <c r="G39" s="672">
        <f>'Datu ievade'!F106</f>
        <v>0</v>
      </c>
      <c r="H39" s="672">
        <f>'Datu ievade'!G106</f>
        <v>0</v>
      </c>
      <c r="I39" s="672">
        <f>'Datu ievade'!H106</f>
        <v>0</v>
      </c>
      <c r="J39" s="672">
        <f>'Datu ievade'!I106</f>
        <v>0</v>
      </c>
      <c r="K39" s="672">
        <f>'Datu ievade'!J106</f>
        <v>0</v>
      </c>
      <c r="L39" s="672">
        <f>'Datu ievade'!K106</f>
        <v>0</v>
      </c>
      <c r="M39" s="672">
        <f>'Datu ievade'!L106</f>
        <v>0</v>
      </c>
      <c r="N39" s="672">
        <f>'Datu ievade'!M106</f>
        <v>0</v>
      </c>
      <c r="O39" s="672">
        <f>'Datu ievade'!N106</f>
        <v>0</v>
      </c>
      <c r="P39" s="672">
        <f>'Datu ievade'!O106</f>
        <v>0</v>
      </c>
      <c r="Q39" s="672">
        <f>'Datu ievade'!P106</f>
        <v>0</v>
      </c>
      <c r="R39" s="672">
        <f>'Datu ievade'!Q106</f>
        <v>0</v>
      </c>
      <c r="S39" s="672">
        <f>'Datu ievade'!R106</f>
        <v>0</v>
      </c>
      <c r="T39" s="672">
        <f>'Datu ievade'!S106</f>
        <v>0</v>
      </c>
      <c r="U39" s="672">
        <f>'Datu ievade'!T106</f>
        <v>0</v>
      </c>
      <c r="V39" s="672">
        <f>'Datu ievade'!U106</f>
        <v>0</v>
      </c>
      <c r="W39" s="672">
        <f>'Datu ievade'!V106</f>
        <v>0</v>
      </c>
      <c r="X39" s="672">
        <f>'Datu ievade'!W106</f>
        <v>0</v>
      </c>
      <c r="Y39" s="672">
        <f>'Datu ievade'!X106</f>
        <v>0</v>
      </c>
      <c r="Z39" s="672">
        <f>'Datu ievade'!Y106</f>
        <v>0</v>
      </c>
      <c r="AA39" s="672">
        <f>'Datu ievade'!Z106</f>
        <v>0</v>
      </c>
      <c r="AB39" s="672">
        <f>'Datu ievade'!AA106</f>
        <v>0</v>
      </c>
      <c r="AC39" s="672">
        <f>'Datu ievade'!AB106</f>
        <v>0</v>
      </c>
      <c r="AD39" s="672">
        <f>'Datu ievade'!AC106</f>
        <v>0</v>
      </c>
      <c r="AE39" s="672">
        <f>'Datu ievade'!AD106</f>
        <v>0</v>
      </c>
      <c r="AF39" s="672">
        <f>'Datu ievade'!AE106</f>
        <v>0</v>
      </c>
      <c r="AG39" s="672">
        <f>'Datu ievade'!AF106</f>
        <v>0</v>
      </c>
      <c r="AH39" s="672">
        <f>'Datu ievade'!AG106</f>
        <v>0</v>
      </c>
      <c r="AI39" s="672">
        <f>'Datu ievade'!AH106</f>
        <v>0</v>
      </c>
      <c r="AJ39" s="672">
        <f>'Datu ievade'!AI106</f>
        <v>0</v>
      </c>
      <c r="AK39" s="672">
        <f>'Datu ievade'!AJ106</f>
        <v>0</v>
      </c>
      <c r="AL39" s="592"/>
    </row>
    <row r="40" spans="2:38" x14ac:dyDescent="0.2">
      <c r="B40" s="786" t="str">
        <f>'Datu ievade'!A107</f>
        <v>ēkās un būvēs</v>
      </c>
      <c r="C40" s="672">
        <f>'Datu ievade'!B107*C79</f>
        <v>0</v>
      </c>
      <c r="D40" s="672">
        <f>'Datu ievade'!C107*D79</f>
        <v>0</v>
      </c>
      <c r="E40" s="672">
        <f>'Datu ievade'!D107*E79</f>
        <v>0</v>
      </c>
      <c r="F40" s="672">
        <f>'Datu ievade'!E107*F79</f>
        <v>0</v>
      </c>
      <c r="G40" s="672">
        <f>'Datu ievade'!F107*G79</f>
        <v>0</v>
      </c>
      <c r="H40" s="672">
        <f>'Datu ievade'!G107*H79</f>
        <v>0</v>
      </c>
      <c r="I40" s="672">
        <f>'Datu ievade'!H107*I79</f>
        <v>0</v>
      </c>
      <c r="J40" s="672">
        <f>'Datu ievade'!I107*J79</f>
        <v>0</v>
      </c>
      <c r="K40" s="672">
        <f>'Datu ievade'!J107*K79</f>
        <v>0</v>
      </c>
      <c r="L40" s="672">
        <f>'Datu ievade'!K107*L79</f>
        <v>0</v>
      </c>
      <c r="M40" s="672">
        <f>'Datu ievade'!L107*M79</f>
        <v>0</v>
      </c>
      <c r="N40" s="672">
        <f>'Datu ievade'!M107*N79</f>
        <v>0</v>
      </c>
      <c r="O40" s="672">
        <f>'Datu ievade'!N107*O79</f>
        <v>0</v>
      </c>
      <c r="P40" s="672">
        <f>'Datu ievade'!O107*P79</f>
        <v>0</v>
      </c>
      <c r="Q40" s="672">
        <f>'Datu ievade'!P107*Q79</f>
        <v>0</v>
      </c>
      <c r="R40" s="672">
        <f>'Datu ievade'!Q107*R79</f>
        <v>0</v>
      </c>
      <c r="S40" s="672">
        <f>'Datu ievade'!R107*S79</f>
        <v>0</v>
      </c>
      <c r="T40" s="672">
        <f>'Datu ievade'!S107*T79</f>
        <v>0</v>
      </c>
      <c r="U40" s="672">
        <f>'Datu ievade'!T107*U79</f>
        <v>0</v>
      </c>
      <c r="V40" s="672">
        <f>'Datu ievade'!U107*V79</f>
        <v>0</v>
      </c>
      <c r="W40" s="672">
        <f>'Datu ievade'!V107*W79</f>
        <v>0</v>
      </c>
      <c r="X40" s="672">
        <f>'Datu ievade'!W107*X79</f>
        <v>0</v>
      </c>
      <c r="Y40" s="672">
        <f>'Datu ievade'!X107*Y79</f>
        <v>0</v>
      </c>
      <c r="Z40" s="672">
        <f>'Datu ievade'!Y107*Z79</f>
        <v>0</v>
      </c>
      <c r="AA40" s="672">
        <f>'Datu ievade'!Z107*AA79</f>
        <v>0</v>
      </c>
      <c r="AB40" s="672">
        <f>'Datu ievade'!AA107*AB79</f>
        <v>0</v>
      </c>
      <c r="AC40" s="672">
        <f>'Datu ievade'!AB107*AC79</f>
        <v>0</v>
      </c>
      <c r="AD40" s="672">
        <f>'Datu ievade'!AC107*AD79</f>
        <v>0</v>
      </c>
      <c r="AE40" s="672">
        <f>'Datu ievade'!AD107*AE79</f>
        <v>0</v>
      </c>
      <c r="AF40" s="672">
        <f>'Datu ievade'!AE107*AF79</f>
        <v>0</v>
      </c>
      <c r="AG40" s="672">
        <f>'Datu ievade'!AF107*AG79</f>
        <v>0</v>
      </c>
      <c r="AH40" s="672">
        <f>'Datu ievade'!AG107*AH79</f>
        <v>0</v>
      </c>
      <c r="AI40" s="672">
        <f>'Datu ievade'!AH107*AI79</f>
        <v>0</v>
      </c>
      <c r="AJ40" s="672">
        <f>'Datu ievade'!AI107*AJ79</f>
        <v>0</v>
      </c>
      <c r="AK40" s="672">
        <f>'Datu ievade'!AJ107*AK79</f>
        <v>0</v>
      </c>
      <c r="AL40" s="592"/>
    </row>
    <row r="41" spans="2:38" x14ac:dyDescent="0.2">
      <c r="B41" s="786" t="str">
        <f>'Datu ievade'!A108</f>
        <v>iekārtās un mašīnās</v>
      </c>
      <c r="C41" s="672">
        <f>'Datu ievade'!B108*C79</f>
        <v>0</v>
      </c>
      <c r="D41" s="672">
        <f>'Datu ievade'!C108*D79</f>
        <v>0</v>
      </c>
      <c r="E41" s="672">
        <f>'Datu ievade'!D108*E79</f>
        <v>0</v>
      </c>
      <c r="F41" s="672">
        <f>'Datu ievade'!E108*F79</f>
        <v>0</v>
      </c>
      <c r="G41" s="672">
        <f>'Datu ievade'!F108*G79</f>
        <v>0</v>
      </c>
      <c r="H41" s="672">
        <f>'Datu ievade'!G108*H79</f>
        <v>0</v>
      </c>
      <c r="I41" s="672">
        <f>'Datu ievade'!H108*I79</f>
        <v>0</v>
      </c>
      <c r="J41" s="672">
        <f>'Datu ievade'!I108*J79</f>
        <v>0</v>
      </c>
      <c r="K41" s="672">
        <f>'Datu ievade'!J108*K79</f>
        <v>0</v>
      </c>
      <c r="L41" s="672">
        <f>'Datu ievade'!K108*L79</f>
        <v>0</v>
      </c>
      <c r="M41" s="672">
        <f>'Datu ievade'!L108*M79</f>
        <v>0</v>
      </c>
      <c r="N41" s="672">
        <f>'Datu ievade'!M108*N79</f>
        <v>0</v>
      </c>
      <c r="O41" s="672">
        <f>'Datu ievade'!N108*O79</f>
        <v>0</v>
      </c>
      <c r="P41" s="672">
        <f>'Datu ievade'!O108*P79</f>
        <v>0</v>
      </c>
      <c r="Q41" s="672">
        <f>'Datu ievade'!P108*Q79</f>
        <v>0</v>
      </c>
      <c r="R41" s="672">
        <f>'Datu ievade'!Q108*R79</f>
        <v>0</v>
      </c>
      <c r="S41" s="672">
        <f>'Datu ievade'!R108*S79</f>
        <v>0</v>
      </c>
      <c r="T41" s="672">
        <f>'Datu ievade'!S108*T79</f>
        <v>0</v>
      </c>
      <c r="U41" s="672">
        <f>'Datu ievade'!T108*U79</f>
        <v>0</v>
      </c>
      <c r="V41" s="672">
        <f>'Datu ievade'!U108*V79</f>
        <v>0</v>
      </c>
      <c r="W41" s="672">
        <f>'Datu ievade'!V108*W79</f>
        <v>0</v>
      </c>
      <c r="X41" s="672">
        <f>'Datu ievade'!W108*X79</f>
        <v>0</v>
      </c>
      <c r="Y41" s="672">
        <f>'Datu ievade'!X108*Y79</f>
        <v>0</v>
      </c>
      <c r="Z41" s="672">
        <f>'Datu ievade'!Y108*Z79</f>
        <v>0</v>
      </c>
      <c r="AA41" s="672">
        <f>'Datu ievade'!Z108*AA79</f>
        <v>0</v>
      </c>
      <c r="AB41" s="672">
        <f>'Datu ievade'!AA108*AB79</f>
        <v>0</v>
      </c>
      <c r="AC41" s="672">
        <f>'Datu ievade'!AB108*AC79</f>
        <v>0</v>
      </c>
      <c r="AD41" s="672">
        <f>'Datu ievade'!AC108*AD79</f>
        <v>0</v>
      </c>
      <c r="AE41" s="672">
        <f>'Datu ievade'!AD108*AE79</f>
        <v>0</v>
      </c>
      <c r="AF41" s="672">
        <f>'Datu ievade'!AE108*AF79</f>
        <v>0</v>
      </c>
      <c r="AG41" s="672">
        <f>'Datu ievade'!AF108*AG79</f>
        <v>0</v>
      </c>
      <c r="AH41" s="672">
        <f>'Datu ievade'!AG108*AH79</f>
        <v>0</v>
      </c>
      <c r="AI41" s="672">
        <f>'Datu ievade'!AH108*AI79</f>
        <v>0</v>
      </c>
      <c r="AJ41" s="672">
        <f>'Datu ievade'!AI108*AJ79</f>
        <v>0</v>
      </c>
      <c r="AK41" s="672">
        <f>'Datu ievade'!AJ108*AK79</f>
        <v>0</v>
      </c>
      <c r="AL41" s="592"/>
    </row>
    <row r="42" spans="2:38" x14ac:dyDescent="0.2">
      <c r="B42" s="786" t="str">
        <f>'Datu ievade'!A109</f>
        <v>nemateriālajos ieguldījumos</v>
      </c>
      <c r="C42" s="672">
        <f>'Datu ievade'!B109*C79</f>
        <v>0</v>
      </c>
      <c r="D42" s="672">
        <f>'Datu ievade'!C109*D79</f>
        <v>0</v>
      </c>
      <c r="E42" s="672">
        <f>'Datu ievade'!D109*E79</f>
        <v>0</v>
      </c>
      <c r="F42" s="672">
        <f>'Datu ievade'!E109*F79</f>
        <v>0</v>
      </c>
      <c r="G42" s="672">
        <f>'Datu ievade'!F109*G79</f>
        <v>0</v>
      </c>
      <c r="H42" s="672">
        <f>'Datu ievade'!G109*H79</f>
        <v>0</v>
      </c>
      <c r="I42" s="672">
        <f>'Datu ievade'!H109*I79</f>
        <v>0</v>
      </c>
      <c r="J42" s="672">
        <f>'Datu ievade'!I109*J79</f>
        <v>0</v>
      </c>
      <c r="K42" s="672">
        <f>'Datu ievade'!J109*K79</f>
        <v>0</v>
      </c>
      <c r="L42" s="672">
        <f>'Datu ievade'!K109*L79</f>
        <v>0</v>
      </c>
      <c r="M42" s="672">
        <f>'Datu ievade'!L109*M79</f>
        <v>0</v>
      </c>
      <c r="N42" s="672">
        <f>'Datu ievade'!M109*N79</f>
        <v>0</v>
      </c>
      <c r="O42" s="672">
        <f>'Datu ievade'!N109*O79</f>
        <v>0</v>
      </c>
      <c r="P42" s="672">
        <f>'Datu ievade'!O109*P79</f>
        <v>0</v>
      </c>
      <c r="Q42" s="672">
        <f>'Datu ievade'!P109*Q79</f>
        <v>0</v>
      </c>
      <c r="R42" s="672">
        <f>'Datu ievade'!Q109*R79</f>
        <v>0</v>
      </c>
      <c r="S42" s="672">
        <f>'Datu ievade'!R109*S79</f>
        <v>0</v>
      </c>
      <c r="T42" s="672">
        <f>'Datu ievade'!S109*T79</f>
        <v>0</v>
      </c>
      <c r="U42" s="672">
        <f>'Datu ievade'!T109*U79</f>
        <v>0</v>
      </c>
      <c r="V42" s="672">
        <f>'Datu ievade'!U109*V79</f>
        <v>0</v>
      </c>
      <c r="W42" s="672">
        <f>'Datu ievade'!V109*W79</f>
        <v>0</v>
      </c>
      <c r="X42" s="672">
        <f>'Datu ievade'!W109*X79</f>
        <v>0</v>
      </c>
      <c r="Y42" s="672">
        <f>'Datu ievade'!X109*Y79</f>
        <v>0</v>
      </c>
      <c r="Z42" s="672">
        <f>'Datu ievade'!Y109*Z79</f>
        <v>0</v>
      </c>
      <c r="AA42" s="672">
        <f>'Datu ievade'!Z109*AA79</f>
        <v>0</v>
      </c>
      <c r="AB42" s="672">
        <f>'Datu ievade'!AA109*AB79</f>
        <v>0</v>
      </c>
      <c r="AC42" s="672">
        <f>'Datu ievade'!AB109*AC79</f>
        <v>0</v>
      </c>
      <c r="AD42" s="672">
        <f>'Datu ievade'!AC109*AD79</f>
        <v>0</v>
      </c>
      <c r="AE42" s="672">
        <f>'Datu ievade'!AD109*AE79</f>
        <v>0</v>
      </c>
      <c r="AF42" s="672">
        <f>'Datu ievade'!AE109*AF79</f>
        <v>0</v>
      </c>
      <c r="AG42" s="672">
        <f>'Datu ievade'!AF109*AG79</f>
        <v>0</v>
      </c>
      <c r="AH42" s="672">
        <f>'Datu ievade'!AG109*AH79</f>
        <v>0</v>
      </c>
      <c r="AI42" s="672">
        <f>'Datu ievade'!AH109*AI79</f>
        <v>0</v>
      </c>
      <c r="AJ42" s="672">
        <f>'Datu ievade'!AI109*AJ79</f>
        <v>0</v>
      </c>
      <c r="AK42" s="672">
        <f>'Datu ievade'!AJ109*AK79</f>
        <v>0</v>
      </c>
      <c r="AL42" s="592"/>
    </row>
    <row r="43" spans="2:38" x14ac:dyDescent="0.2">
      <c r="B43" s="31" t="s">
        <v>35</v>
      </c>
      <c r="C43" s="672"/>
      <c r="D43" s="672"/>
      <c r="E43" s="672"/>
      <c r="F43" s="672"/>
      <c r="G43" s="672"/>
      <c r="H43" s="672"/>
      <c r="I43" s="672"/>
      <c r="J43" s="672"/>
      <c r="K43" s="672"/>
      <c r="L43" s="672"/>
      <c r="M43" s="672"/>
      <c r="N43" s="672"/>
      <c r="O43" s="672"/>
      <c r="P43" s="672"/>
      <c r="Q43" s="672"/>
      <c r="R43" s="672"/>
      <c r="S43" s="672"/>
      <c r="T43" s="672"/>
      <c r="U43" s="672"/>
      <c r="V43" s="672"/>
      <c r="W43" s="672"/>
      <c r="X43" s="672"/>
      <c r="Y43" s="672"/>
      <c r="Z43" s="672"/>
      <c r="AA43" s="672"/>
      <c r="AB43" s="672"/>
      <c r="AC43" s="672"/>
      <c r="AD43" s="672"/>
      <c r="AE43" s="672"/>
      <c r="AF43" s="672"/>
      <c r="AG43" s="672"/>
      <c r="AH43" s="672"/>
      <c r="AI43" s="672"/>
      <c r="AJ43" s="672"/>
      <c r="AK43" s="672"/>
      <c r="AL43" s="592"/>
    </row>
    <row r="44" spans="2:38" x14ac:dyDescent="0.2">
      <c r="B44" s="31" t="s">
        <v>36</v>
      </c>
      <c r="C44" s="672">
        <f>'Datu ievade'!B111</f>
        <v>59412</v>
      </c>
      <c r="D44" s="672">
        <f>'Datu ievade'!C111</f>
        <v>59412</v>
      </c>
      <c r="E44" s="672">
        <f>'Datu ievade'!D111</f>
        <v>60000</v>
      </c>
      <c r="F44" s="672">
        <f>'Datu ievade'!E111</f>
        <v>60000</v>
      </c>
      <c r="G44" s="672">
        <f>'Datu ievade'!F111</f>
        <v>60000</v>
      </c>
      <c r="H44" s="672">
        <f>'Datu ievade'!G111</f>
        <v>60000</v>
      </c>
      <c r="I44" s="672">
        <f>'Datu ievade'!H111</f>
        <v>60000</v>
      </c>
      <c r="J44" s="672">
        <f>'Datu ievade'!I111</f>
        <v>60000</v>
      </c>
      <c r="K44" s="672">
        <f>'Datu ievade'!J111</f>
        <v>60000</v>
      </c>
      <c r="L44" s="672">
        <f>'Datu ievade'!K111</f>
        <v>60000</v>
      </c>
      <c r="M44" s="672">
        <f>'Datu ievade'!L111</f>
        <v>60000</v>
      </c>
      <c r="N44" s="672">
        <f>'Datu ievade'!M111</f>
        <v>60000</v>
      </c>
      <c r="O44" s="672">
        <f>'Datu ievade'!N111</f>
        <v>60000</v>
      </c>
      <c r="P44" s="672">
        <f>'Datu ievade'!O111</f>
        <v>60000</v>
      </c>
      <c r="Q44" s="672">
        <f>'Datu ievade'!P111</f>
        <v>60000</v>
      </c>
      <c r="R44" s="672">
        <f>'Datu ievade'!Q111</f>
        <v>60000</v>
      </c>
      <c r="S44" s="672">
        <f>'Datu ievade'!R111</f>
        <v>60000</v>
      </c>
      <c r="T44" s="672">
        <f>'Datu ievade'!S111</f>
        <v>60000</v>
      </c>
      <c r="U44" s="672">
        <f>'Datu ievade'!T111</f>
        <v>60000</v>
      </c>
      <c r="V44" s="672">
        <f>'Datu ievade'!U111</f>
        <v>60000</v>
      </c>
      <c r="W44" s="672">
        <f>'Datu ievade'!V111</f>
        <v>60000</v>
      </c>
      <c r="X44" s="672">
        <f>'Datu ievade'!W111</f>
        <v>60000</v>
      </c>
      <c r="Y44" s="672">
        <f>'Datu ievade'!X111</f>
        <v>60000</v>
      </c>
      <c r="Z44" s="672">
        <f>'Datu ievade'!Y111</f>
        <v>60000</v>
      </c>
      <c r="AA44" s="672">
        <f>'Datu ievade'!Z111</f>
        <v>60000</v>
      </c>
      <c r="AB44" s="672">
        <f>'Datu ievade'!AA111</f>
        <v>60000</v>
      </c>
      <c r="AC44" s="672">
        <f>'Datu ievade'!AB111</f>
        <v>60000</v>
      </c>
      <c r="AD44" s="672">
        <f>'Datu ievade'!AC111</f>
        <v>60000</v>
      </c>
      <c r="AE44" s="672">
        <f>'Datu ievade'!AD111</f>
        <v>60000</v>
      </c>
      <c r="AF44" s="672">
        <f>'Datu ievade'!AE111</f>
        <v>60000</v>
      </c>
      <c r="AG44" s="672">
        <f>'Datu ievade'!AF111</f>
        <v>60000</v>
      </c>
      <c r="AH44" s="672">
        <f>'Datu ievade'!AG111</f>
        <v>60000</v>
      </c>
      <c r="AI44" s="672">
        <f>'Datu ievade'!AH111</f>
        <v>60000</v>
      </c>
      <c r="AJ44" s="672">
        <f>'Datu ievade'!AI111</f>
        <v>60000</v>
      </c>
      <c r="AK44" s="672">
        <f>'Datu ievade'!AJ111</f>
        <v>59413</v>
      </c>
      <c r="AL44" s="592"/>
    </row>
    <row r="45" spans="2:38" x14ac:dyDescent="0.2">
      <c r="B45" s="31" t="s">
        <v>37</v>
      </c>
      <c r="C45" s="672">
        <f>'Datu ievade'!B112</f>
        <v>14015.290800000001</v>
      </c>
      <c r="D45" s="672">
        <f>'Datu ievade'!C112</f>
        <v>14312.3508</v>
      </c>
      <c r="E45" s="672">
        <f>'Datu ievade'!D112</f>
        <v>14454</v>
      </c>
      <c r="F45" s="672">
        <f>'Datu ievade'!E112</f>
        <v>14454</v>
      </c>
      <c r="G45" s="672">
        <f>'Datu ievade'!F112</f>
        <v>14454</v>
      </c>
      <c r="H45" s="672">
        <f>'Datu ievade'!G112</f>
        <v>14454</v>
      </c>
      <c r="I45" s="672">
        <f>'Datu ievade'!H112</f>
        <v>14454</v>
      </c>
      <c r="J45" s="672">
        <f>'Datu ievade'!I112</f>
        <v>14454</v>
      </c>
      <c r="K45" s="672">
        <f>'Datu ievade'!J112</f>
        <v>14454</v>
      </c>
      <c r="L45" s="672">
        <f>'Datu ievade'!K112</f>
        <v>14454</v>
      </c>
      <c r="M45" s="672">
        <f>'Datu ievade'!L112</f>
        <v>14454</v>
      </c>
      <c r="N45" s="672">
        <f>'Datu ievade'!M112</f>
        <v>14454</v>
      </c>
      <c r="O45" s="672">
        <f>'Datu ievade'!N112</f>
        <v>14454</v>
      </c>
      <c r="P45" s="672">
        <f>'Datu ievade'!O112</f>
        <v>14454</v>
      </c>
      <c r="Q45" s="672">
        <f>'Datu ievade'!P112</f>
        <v>14454</v>
      </c>
      <c r="R45" s="672">
        <f>'Datu ievade'!Q112</f>
        <v>14454</v>
      </c>
      <c r="S45" s="672">
        <f>'Datu ievade'!R112</f>
        <v>14454</v>
      </c>
      <c r="T45" s="672">
        <f>'Datu ievade'!S112</f>
        <v>14454</v>
      </c>
      <c r="U45" s="672">
        <f>'Datu ievade'!T112</f>
        <v>14454</v>
      </c>
      <c r="V45" s="672">
        <f>'Datu ievade'!U112</f>
        <v>14454</v>
      </c>
      <c r="W45" s="672">
        <f>'Datu ievade'!V112</f>
        <v>14454</v>
      </c>
      <c r="X45" s="672">
        <f>'Datu ievade'!W112</f>
        <v>14454</v>
      </c>
      <c r="Y45" s="672">
        <f>'Datu ievade'!X112</f>
        <v>14454</v>
      </c>
      <c r="Z45" s="672">
        <f>'Datu ievade'!Y112</f>
        <v>14454</v>
      </c>
      <c r="AA45" s="672">
        <f>'Datu ievade'!Z112</f>
        <v>14454</v>
      </c>
      <c r="AB45" s="672">
        <f>'Datu ievade'!AA112</f>
        <v>14454</v>
      </c>
      <c r="AC45" s="672">
        <f>'Datu ievade'!AB112</f>
        <v>14454</v>
      </c>
      <c r="AD45" s="672">
        <f>'Datu ievade'!AC112</f>
        <v>14454</v>
      </c>
      <c r="AE45" s="672">
        <f>'Datu ievade'!AD112</f>
        <v>14454</v>
      </c>
      <c r="AF45" s="672">
        <f>'Datu ievade'!AE112</f>
        <v>14454</v>
      </c>
      <c r="AG45" s="672">
        <f>'Datu ievade'!AF112</f>
        <v>14454</v>
      </c>
      <c r="AH45" s="672">
        <f>'Datu ievade'!AG112</f>
        <v>14454</v>
      </c>
      <c r="AI45" s="672">
        <f>'Datu ievade'!AH112</f>
        <v>14454</v>
      </c>
      <c r="AJ45" s="672">
        <f>'Datu ievade'!AI112</f>
        <v>14454</v>
      </c>
      <c r="AK45" s="672">
        <f>'Datu ievade'!AJ112</f>
        <v>14015.5267</v>
      </c>
      <c r="AL45" s="592"/>
    </row>
    <row r="46" spans="2:38" x14ac:dyDescent="0.2">
      <c r="B46" s="31" t="s">
        <v>38</v>
      </c>
      <c r="C46" s="672">
        <f>'Datu ievade'!B113</f>
        <v>0</v>
      </c>
      <c r="D46" s="672">
        <f>'Datu ievade'!C113</f>
        <v>0</v>
      </c>
      <c r="E46" s="672">
        <f>'Datu ievade'!D113</f>
        <v>0</v>
      </c>
      <c r="F46" s="672">
        <f>'Datu ievade'!E113</f>
        <v>0</v>
      </c>
      <c r="G46" s="672">
        <f>'Datu ievade'!F113</f>
        <v>0</v>
      </c>
      <c r="H46" s="672">
        <f>'Datu ievade'!G113</f>
        <v>0</v>
      </c>
      <c r="I46" s="672">
        <f>'Datu ievade'!H113</f>
        <v>0</v>
      </c>
      <c r="J46" s="672">
        <f>'Datu ievade'!I113</f>
        <v>0</v>
      </c>
      <c r="K46" s="672">
        <f>'Datu ievade'!J113</f>
        <v>0</v>
      </c>
      <c r="L46" s="672">
        <f>'Datu ievade'!K113</f>
        <v>0</v>
      </c>
      <c r="M46" s="672">
        <f>'Datu ievade'!L113</f>
        <v>0</v>
      </c>
      <c r="N46" s="672">
        <f>'Datu ievade'!M113</f>
        <v>0</v>
      </c>
      <c r="O46" s="672">
        <f>'Datu ievade'!N113</f>
        <v>0</v>
      </c>
      <c r="P46" s="672">
        <f>'Datu ievade'!O113</f>
        <v>0</v>
      </c>
      <c r="Q46" s="672">
        <f>'Datu ievade'!P113</f>
        <v>0</v>
      </c>
      <c r="R46" s="672">
        <f>'Datu ievade'!Q113</f>
        <v>0</v>
      </c>
      <c r="S46" s="672">
        <f>'Datu ievade'!R113</f>
        <v>0</v>
      </c>
      <c r="T46" s="672">
        <f>'Datu ievade'!S113</f>
        <v>0</v>
      </c>
      <c r="U46" s="672">
        <f>'Datu ievade'!T113</f>
        <v>0</v>
      </c>
      <c r="V46" s="672">
        <f>'Datu ievade'!U113</f>
        <v>0</v>
      </c>
      <c r="W46" s="672">
        <f>'Datu ievade'!V113</f>
        <v>0</v>
      </c>
      <c r="X46" s="672">
        <f>'Datu ievade'!W113</f>
        <v>0</v>
      </c>
      <c r="Y46" s="672">
        <f>'Datu ievade'!X113</f>
        <v>0</v>
      </c>
      <c r="Z46" s="672">
        <f>'Datu ievade'!Y113</f>
        <v>0</v>
      </c>
      <c r="AA46" s="672">
        <f>'Datu ievade'!Z113</f>
        <v>0</v>
      </c>
      <c r="AB46" s="672">
        <f>'Datu ievade'!AA113</f>
        <v>0</v>
      </c>
      <c r="AC46" s="672">
        <f>'Datu ievade'!AB113</f>
        <v>0</v>
      </c>
      <c r="AD46" s="672">
        <f>'Datu ievade'!AC113</f>
        <v>0</v>
      </c>
      <c r="AE46" s="672">
        <f>'Datu ievade'!AD113</f>
        <v>0</v>
      </c>
      <c r="AF46" s="672">
        <f>'Datu ievade'!AE113</f>
        <v>0</v>
      </c>
      <c r="AG46" s="672">
        <f>'Datu ievade'!AF113</f>
        <v>0</v>
      </c>
      <c r="AH46" s="672">
        <f>'Datu ievade'!AG113</f>
        <v>0</v>
      </c>
      <c r="AI46" s="672">
        <f>'Datu ievade'!AH113</f>
        <v>0</v>
      </c>
      <c r="AJ46" s="672">
        <f>'Datu ievade'!AI113</f>
        <v>0</v>
      </c>
      <c r="AK46" s="672">
        <f>'Datu ievade'!AJ113</f>
        <v>0</v>
      </c>
      <c r="AL46" s="592"/>
    </row>
    <row r="47" spans="2:38" x14ac:dyDescent="0.2">
      <c r="B47" s="594" t="s">
        <v>39</v>
      </c>
      <c r="C47" s="672"/>
      <c r="D47" s="672"/>
      <c r="E47" s="672"/>
      <c r="F47" s="672"/>
      <c r="G47" s="672"/>
      <c r="H47" s="672"/>
      <c r="I47" s="672"/>
      <c r="J47" s="672"/>
      <c r="K47" s="672"/>
      <c r="L47" s="672"/>
      <c r="M47" s="672"/>
      <c r="N47" s="672"/>
      <c r="O47" s="672"/>
      <c r="P47" s="672"/>
      <c r="Q47" s="672"/>
      <c r="R47" s="672"/>
      <c r="S47" s="672"/>
      <c r="T47" s="672"/>
      <c r="U47" s="672"/>
      <c r="V47" s="672"/>
      <c r="W47" s="672"/>
      <c r="X47" s="672"/>
      <c r="Y47" s="672"/>
      <c r="Z47" s="672"/>
      <c r="AA47" s="672"/>
      <c r="AB47" s="672"/>
      <c r="AC47" s="672"/>
      <c r="AD47" s="672"/>
      <c r="AE47" s="672"/>
      <c r="AF47" s="672"/>
      <c r="AG47" s="672"/>
      <c r="AH47" s="672"/>
      <c r="AI47" s="672"/>
      <c r="AJ47" s="672"/>
      <c r="AK47" s="672"/>
      <c r="AL47" s="592"/>
    </row>
    <row r="48" spans="2:38" x14ac:dyDescent="0.2">
      <c r="B48" s="31" t="s">
        <v>30</v>
      </c>
      <c r="C48" s="672"/>
      <c r="D48" s="672"/>
      <c r="E48" s="672"/>
      <c r="F48" s="672"/>
      <c r="G48" s="672"/>
      <c r="H48" s="672"/>
      <c r="I48" s="672"/>
      <c r="J48" s="672"/>
      <c r="K48" s="672"/>
      <c r="L48" s="672"/>
      <c r="M48" s="672"/>
      <c r="N48" s="672"/>
      <c r="O48" s="672"/>
      <c r="P48" s="672"/>
      <c r="Q48" s="672"/>
      <c r="R48" s="672"/>
      <c r="S48" s="672"/>
      <c r="T48" s="672"/>
      <c r="U48" s="672"/>
      <c r="V48" s="672"/>
      <c r="W48" s="672"/>
      <c r="X48" s="672"/>
      <c r="Y48" s="672"/>
      <c r="Z48" s="672"/>
      <c r="AA48" s="672"/>
      <c r="AB48" s="672"/>
      <c r="AC48" s="672"/>
      <c r="AD48" s="672"/>
      <c r="AE48" s="672"/>
      <c r="AF48" s="672"/>
      <c r="AG48" s="672"/>
      <c r="AH48" s="672"/>
      <c r="AI48" s="672"/>
      <c r="AJ48" s="672"/>
      <c r="AK48" s="672"/>
      <c r="AL48" s="592"/>
    </row>
    <row r="49" spans="2:38" x14ac:dyDescent="0.2">
      <c r="B49" s="31" t="s">
        <v>31</v>
      </c>
      <c r="C49" s="672">
        <f>'Datu ievade'!B116</f>
        <v>27445.74</v>
      </c>
      <c r="D49" s="672">
        <f>'Datu ievade'!C116</f>
        <v>27445.74</v>
      </c>
      <c r="E49" s="672">
        <f>'Datu ievade'!D116</f>
        <v>30000</v>
      </c>
      <c r="F49" s="672">
        <f>'Datu ievade'!E116</f>
        <v>30000</v>
      </c>
      <c r="G49" s="672">
        <f>'Datu ievade'!F116</f>
        <v>30000</v>
      </c>
      <c r="H49" s="672">
        <f>'Datu ievade'!G116</f>
        <v>30000</v>
      </c>
      <c r="I49" s="672">
        <f>'Datu ievade'!H116</f>
        <v>30000</v>
      </c>
      <c r="J49" s="672">
        <f>'Datu ievade'!I116</f>
        <v>30000</v>
      </c>
      <c r="K49" s="672">
        <f>'Datu ievade'!J116</f>
        <v>30000</v>
      </c>
      <c r="L49" s="672">
        <f>'Datu ievade'!K116</f>
        <v>30000</v>
      </c>
      <c r="M49" s="672">
        <f>'Datu ievade'!L116</f>
        <v>30000</v>
      </c>
      <c r="N49" s="672">
        <f>'Datu ievade'!M116</f>
        <v>30000</v>
      </c>
      <c r="O49" s="672">
        <f>'Datu ievade'!N116</f>
        <v>30000</v>
      </c>
      <c r="P49" s="672">
        <f>'Datu ievade'!O116</f>
        <v>30000</v>
      </c>
      <c r="Q49" s="672">
        <f>'Datu ievade'!P116</f>
        <v>30000</v>
      </c>
      <c r="R49" s="672">
        <f>'Datu ievade'!Q116</f>
        <v>30000</v>
      </c>
      <c r="S49" s="672">
        <f>'Datu ievade'!R116</f>
        <v>30000</v>
      </c>
      <c r="T49" s="672">
        <f>'Datu ievade'!S116</f>
        <v>30000</v>
      </c>
      <c r="U49" s="672">
        <f>'Datu ievade'!T116</f>
        <v>30000</v>
      </c>
      <c r="V49" s="672">
        <f>'Datu ievade'!U116</f>
        <v>30000</v>
      </c>
      <c r="W49" s="672">
        <f>'Datu ievade'!V116</f>
        <v>30000</v>
      </c>
      <c r="X49" s="672">
        <f>'Datu ievade'!W116</f>
        <v>30000</v>
      </c>
      <c r="Y49" s="672">
        <f>'Datu ievade'!X116</f>
        <v>30000</v>
      </c>
      <c r="Z49" s="672">
        <f>'Datu ievade'!Y116</f>
        <v>30000</v>
      </c>
      <c r="AA49" s="672">
        <f>'Datu ievade'!Z116</f>
        <v>30000</v>
      </c>
      <c r="AB49" s="672">
        <f>'Datu ievade'!AA116</f>
        <v>30000</v>
      </c>
      <c r="AC49" s="672">
        <f>'Datu ievade'!AB116</f>
        <v>30000</v>
      </c>
      <c r="AD49" s="672">
        <f>'Datu ievade'!AC116</f>
        <v>30000</v>
      </c>
      <c r="AE49" s="672">
        <f>'Datu ievade'!AD116</f>
        <v>30000</v>
      </c>
      <c r="AF49" s="672">
        <f>'Datu ievade'!AE116</f>
        <v>30000</v>
      </c>
      <c r="AG49" s="672">
        <f>'Datu ievade'!AF116</f>
        <v>30000</v>
      </c>
      <c r="AH49" s="672">
        <f>'Datu ievade'!AG116</f>
        <v>30000</v>
      </c>
      <c r="AI49" s="672">
        <f>'Datu ievade'!AH116</f>
        <v>30000</v>
      </c>
      <c r="AJ49" s="672">
        <f>'Datu ievade'!AI116</f>
        <v>30000</v>
      </c>
      <c r="AK49" s="672">
        <f>'Datu ievade'!AJ116</f>
        <v>27445.74</v>
      </c>
      <c r="AL49" s="592"/>
    </row>
    <row r="50" spans="2:38" x14ac:dyDescent="0.2">
      <c r="B50" s="31" t="s">
        <v>32</v>
      </c>
      <c r="C50" s="672">
        <f>'Datu ievade'!B117</f>
        <v>62115</v>
      </c>
      <c r="D50" s="672">
        <f>'Datu ievade'!C117</f>
        <v>62115</v>
      </c>
      <c r="E50" s="672">
        <f>'Datu ievade'!D117</f>
        <v>63000</v>
      </c>
      <c r="F50" s="672">
        <f>'Datu ievade'!E117</f>
        <v>63000</v>
      </c>
      <c r="G50" s="672">
        <f>'Datu ievade'!F117</f>
        <v>63000</v>
      </c>
      <c r="H50" s="672">
        <f>'Datu ievade'!G117</f>
        <v>63000</v>
      </c>
      <c r="I50" s="672">
        <f>'Datu ievade'!H117</f>
        <v>63000</v>
      </c>
      <c r="J50" s="672">
        <f>'Datu ievade'!I117</f>
        <v>63000</v>
      </c>
      <c r="K50" s="672">
        <f>'Datu ievade'!J117</f>
        <v>63000</v>
      </c>
      <c r="L50" s="672">
        <f>'Datu ievade'!K117</f>
        <v>63000</v>
      </c>
      <c r="M50" s="672">
        <f>'Datu ievade'!L117</f>
        <v>63000</v>
      </c>
      <c r="N50" s="672">
        <f>'Datu ievade'!M117</f>
        <v>63000</v>
      </c>
      <c r="O50" s="672">
        <f>'Datu ievade'!N117</f>
        <v>63000</v>
      </c>
      <c r="P50" s="672">
        <f>'Datu ievade'!O117</f>
        <v>63000</v>
      </c>
      <c r="Q50" s="672">
        <f>'Datu ievade'!P117</f>
        <v>63000</v>
      </c>
      <c r="R50" s="672">
        <f>'Datu ievade'!Q117</f>
        <v>63000</v>
      </c>
      <c r="S50" s="672">
        <f>'Datu ievade'!R117</f>
        <v>63000</v>
      </c>
      <c r="T50" s="672">
        <f>'Datu ievade'!S117</f>
        <v>63000</v>
      </c>
      <c r="U50" s="672">
        <f>'Datu ievade'!T117</f>
        <v>63000</v>
      </c>
      <c r="V50" s="672">
        <f>'Datu ievade'!U117</f>
        <v>63000</v>
      </c>
      <c r="W50" s="672">
        <f>'Datu ievade'!V117</f>
        <v>63000</v>
      </c>
      <c r="X50" s="672">
        <f>'Datu ievade'!W117</f>
        <v>63000</v>
      </c>
      <c r="Y50" s="672">
        <f>'Datu ievade'!X117</f>
        <v>63000</v>
      </c>
      <c r="Z50" s="672">
        <f>'Datu ievade'!Y117</f>
        <v>63000</v>
      </c>
      <c r="AA50" s="672">
        <f>'Datu ievade'!Z117</f>
        <v>63000</v>
      </c>
      <c r="AB50" s="672">
        <f>'Datu ievade'!AA117</f>
        <v>63000</v>
      </c>
      <c r="AC50" s="672">
        <f>'Datu ievade'!AB117</f>
        <v>63000</v>
      </c>
      <c r="AD50" s="672">
        <f>'Datu ievade'!AC117</f>
        <v>63000</v>
      </c>
      <c r="AE50" s="672">
        <f>'Datu ievade'!AD117</f>
        <v>63000</v>
      </c>
      <c r="AF50" s="672">
        <f>'Datu ievade'!AE117</f>
        <v>63000</v>
      </c>
      <c r="AG50" s="672">
        <f>'Datu ievade'!AF117</f>
        <v>63000</v>
      </c>
      <c r="AH50" s="672">
        <f>'Datu ievade'!AG117</f>
        <v>63000</v>
      </c>
      <c r="AI50" s="672">
        <f>'Datu ievade'!AH117</f>
        <v>63000</v>
      </c>
      <c r="AJ50" s="672">
        <f>'Datu ievade'!AI117</f>
        <v>63000</v>
      </c>
      <c r="AK50" s="672">
        <f>'Datu ievade'!AJ117</f>
        <v>62115</v>
      </c>
      <c r="AL50" s="592"/>
    </row>
    <row r="51" spans="2:38" x14ac:dyDescent="0.2">
      <c r="B51" s="31" t="s">
        <v>33</v>
      </c>
      <c r="C51" s="672">
        <f>'Datu ievade'!B118</f>
        <v>1508.94</v>
      </c>
      <c r="D51" s="672">
        <f>'Datu ievade'!C118</f>
        <v>1508.94</v>
      </c>
      <c r="E51" s="672">
        <f>'Datu ievade'!D118</f>
        <v>2000</v>
      </c>
      <c r="F51" s="672">
        <f>'Datu ievade'!E118</f>
        <v>2000</v>
      </c>
      <c r="G51" s="672">
        <f>'Datu ievade'!F118</f>
        <v>2000</v>
      </c>
      <c r="H51" s="672">
        <f>'Datu ievade'!G118</f>
        <v>2000</v>
      </c>
      <c r="I51" s="672">
        <f>'Datu ievade'!H118</f>
        <v>2000</v>
      </c>
      <c r="J51" s="672">
        <f>'Datu ievade'!I118</f>
        <v>2000</v>
      </c>
      <c r="K51" s="672">
        <f>'Datu ievade'!J118</f>
        <v>2000</v>
      </c>
      <c r="L51" s="672">
        <f>'Datu ievade'!K118</f>
        <v>2000</v>
      </c>
      <c r="M51" s="672">
        <f>'Datu ievade'!L118</f>
        <v>2000</v>
      </c>
      <c r="N51" s="672">
        <f>'Datu ievade'!M118</f>
        <v>2000</v>
      </c>
      <c r="O51" s="672">
        <f>'Datu ievade'!N118</f>
        <v>2000</v>
      </c>
      <c r="P51" s="672">
        <f>'Datu ievade'!O118</f>
        <v>2000</v>
      </c>
      <c r="Q51" s="672">
        <f>'Datu ievade'!P118</f>
        <v>2000</v>
      </c>
      <c r="R51" s="672">
        <f>'Datu ievade'!Q118</f>
        <v>2000</v>
      </c>
      <c r="S51" s="672">
        <f>'Datu ievade'!R118</f>
        <v>2000</v>
      </c>
      <c r="T51" s="672">
        <f>'Datu ievade'!S118</f>
        <v>2000</v>
      </c>
      <c r="U51" s="672">
        <f>'Datu ievade'!T118</f>
        <v>2000</v>
      </c>
      <c r="V51" s="672">
        <f>'Datu ievade'!U118</f>
        <v>2000</v>
      </c>
      <c r="W51" s="672">
        <f>'Datu ievade'!V118</f>
        <v>2000</v>
      </c>
      <c r="X51" s="672">
        <f>'Datu ievade'!W118</f>
        <v>2000</v>
      </c>
      <c r="Y51" s="672">
        <f>'Datu ievade'!X118</f>
        <v>2000</v>
      </c>
      <c r="Z51" s="672">
        <f>'Datu ievade'!Y118</f>
        <v>2000</v>
      </c>
      <c r="AA51" s="672">
        <f>'Datu ievade'!Z118</f>
        <v>2000</v>
      </c>
      <c r="AB51" s="672">
        <f>'Datu ievade'!AA118</f>
        <v>2000</v>
      </c>
      <c r="AC51" s="672">
        <f>'Datu ievade'!AB118</f>
        <v>2000</v>
      </c>
      <c r="AD51" s="672">
        <f>'Datu ievade'!AC118</f>
        <v>2000</v>
      </c>
      <c r="AE51" s="672">
        <f>'Datu ievade'!AD118</f>
        <v>2000</v>
      </c>
      <c r="AF51" s="672">
        <f>'Datu ievade'!AE118</f>
        <v>2000</v>
      </c>
      <c r="AG51" s="672">
        <f>'Datu ievade'!AF118</f>
        <v>2000</v>
      </c>
      <c r="AH51" s="672">
        <f>'Datu ievade'!AG118</f>
        <v>2000</v>
      </c>
      <c r="AI51" s="672">
        <f>'Datu ievade'!AH118</f>
        <v>2000</v>
      </c>
      <c r="AJ51" s="672">
        <f>'Datu ievade'!AI118</f>
        <v>2000</v>
      </c>
      <c r="AK51" s="672">
        <f>'Datu ievade'!AJ118</f>
        <v>1508.94</v>
      </c>
      <c r="AL51" s="592"/>
    </row>
    <row r="52" spans="2:38" x14ac:dyDescent="0.2">
      <c r="B52" s="31" t="s">
        <v>34</v>
      </c>
      <c r="C52" s="672">
        <f>'Datu ievade'!B119</f>
        <v>77618.5</v>
      </c>
      <c r="D52" s="672">
        <f>'Datu ievade'!C119</f>
        <v>77618.5</v>
      </c>
      <c r="E52" s="672">
        <f>'Datu ievade'!D119</f>
        <v>78000</v>
      </c>
      <c r="F52" s="672">
        <f>'Datu ievade'!E119</f>
        <v>78000</v>
      </c>
      <c r="G52" s="672">
        <f>'Datu ievade'!F119</f>
        <v>78000</v>
      </c>
      <c r="H52" s="672">
        <f>'Datu ievade'!G119</f>
        <v>78000</v>
      </c>
      <c r="I52" s="672">
        <f>'Datu ievade'!H119</f>
        <v>78000</v>
      </c>
      <c r="J52" s="672">
        <f>'Datu ievade'!I119</f>
        <v>78000</v>
      </c>
      <c r="K52" s="672">
        <f>'Datu ievade'!J119</f>
        <v>78000</v>
      </c>
      <c r="L52" s="672">
        <f>'Datu ievade'!K119</f>
        <v>78000</v>
      </c>
      <c r="M52" s="672">
        <f>'Datu ievade'!L119</f>
        <v>78000</v>
      </c>
      <c r="N52" s="672">
        <f>'Datu ievade'!M119</f>
        <v>78000</v>
      </c>
      <c r="O52" s="672">
        <f>'Datu ievade'!N119</f>
        <v>78000</v>
      </c>
      <c r="P52" s="672">
        <f>'Datu ievade'!O119</f>
        <v>78000</v>
      </c>
      <c r="Q52" s="672">
        <f>'Datu ievade'!P119</f>
        <v>78000</v>
      </c>
      <c r="R52" s="672">
        <f>'Datu ievade'!Q119</f>
        <v>78000</v>
      </c>
      <c r="S52" s="672">
        <f>'Datu ievade'!R119</f>
        <v>78000</v>
      </c>
      <c r="T52" s="672">
        <f>'Datu ievade'!S119</f>
        <v>78000</v>
      </c>
      <c r="U52" s="672">
        <f>'Datu ievade'!T119</f>
        <v>78000</v>
      </c>
      <c r="V52" s="672">
        <f>'Datu ievade'!U119</f>
        <v>78000</v>
      </c>
      <c r="W52" s="672">
        <f>'Datu ievade'!V119</f>
        <v>78000</v>
      </c>
      <c r="X52" s="672">
        <f>'Datu ievade'!W119</f>
        <v>78000</v>
      </c>
      <c r="Y52" s="672">
        <f>'Datu ievade'!X119</f>
        <v>78000</v>
      </c>
      <c r="Z52" s="672">
        <f>'Datu ievade'!Y119</f>
        <v>78000</v>
      </c>
      <c r="AA52" s="672">
        <f>'Datu ievade'!Z119</f>
        <v>78000</v>
      </c>
      <c r="AB52" s="672">
        <f>'Datu ievade'!AA119</f>
        <v>78000</v>
      </c>
      <c r="AC52" s="672">
        <f>'Datu ievade'!AB119</f>
        <v>78000</v>
      </c>
      <c r="AD52" s="672">
        <f>'Datu ievade'!AC119</f>
        <v>78000</v>
      </c>
      <c r="AE52" s="672">
        <f>'Datu ievade'!AD119</f>
        <v>78000</v>
      </c>
      <c r="AF52" s="672">
        <f>'Datu ievade'!AE119</f>
        <v>78000</v>
      </c>
      <c r="AG52" s="672">
        <f>'Datu ievade'!AF119</f>
        <v>78000</v>
      </c>
      <c r="AH52" s="672">
        <f>'Datu ievade'!AG119</f>
        <v>78000</v>
      </c>
      <c r="AI52" s="672">
        <f>'Datu ievade'!AH119</f>
        <v>78000</v>
      </c>
      <c r="AJ52" s="672">
        <f>'Datu ievade'!AI119</f>
        <v>78000</v>
      </c>
      <c r="AK52" s="672">
        <f>'Datu ievade'!AJ119</f>
        <v>77618.5</v>
      </c>
      <c r="AL52" s="592"/>
    </row>
    <row r="53" spans="2:38" x14ac:dyDescent="0.2">
      <c r="B53" s="31" t="str">
        <f>'Datu ievade'!A120</f>
        <v xml:space="preserve">    Citas mainīgās izmaksas</v>
      </c>
      <c r="C53" s="672">
        <f>'Datu ievade'!B120</f>
        <v>2384.61</v>
      </c>
      <c r="D53" s="672">
        <f>'Datu ievade'!C120</f>
        <v>2384.61</v>
      </c>
      <c r="E53" s="672">
        <f>'Datu ievade'!D120</f>
        <v>3000</v>
      </c>
      <c r="F53" s="672">
        <f>'Datu ievade'!E120</f>
        <v>3000</v>
      </c>
      <c r="G53" s="672">
        <f>'Datu ievade'!F120</f>
        <v>3000</v>
      </c>
      <c r="H53" s="672">
        <f>'Datu ievade'!G120</f>
        <v>3000</v>
      </c>
      <c r="I53" s="672">
        <f>'Datu ievade'!H120</f>
        <v>3000</v>
      </c>
      <c r="J53" s="672">
        <f>'Datu ievade'!I120</f>
        <v>3000</v>
      </c>
      <c r="K53" s="672">
        <f>'Datu ievade'!J120</f>
        <v>3000</v>
      </c>
      <c r="L53" s="672">
        <f>'Datu ievade'!K120</f>
        <v>3000</v>
      </c>
      <c r="M53" s="672">
        <f>'Datu ievade'!L120</f>
        <v>3000</v>
      </c>
      <c r="N53" s="672">
        <f>'Datu ievade'!M120</f>
        <v>3000</v>
      </c>
      <c r="O53" s="672">
        <f>'Datu ievade'!N120</f>
        <v>3000</v>
      </c>
      <c r="P53" s="672">
        <f>'Datu ievade'!O120</f>
        <v>3000</v>
      </c>
      <c r="Q53" s="672">
        <f>'Datu ievade'!P120</f>
        <v>3000</v>
      </c>
      <c r="R53" s="672">
        <f>'Datu ievade'!Q120</f>
        <v>3000</v>
      </c>
      <c r="S53" s="672">
        <f>'Datu ievade'!R120</f>
        <v>3000</v>
      </c>
      <c r="T53" s="672">
        <f>'Datu ievade'!S120</f>
        <v>3000</v>
      </c>
      <c r="U53" s="672">
        <f>'Datu ievade'!T120</f>
        <v>3000</v>
      </c>
      <c r="V53" s="672">
        <f>'Datu ievade'!U120</f>
        <v>3000</v>
      </c>
      <c r="W53" s="672">
        <f>'Datu ievade'!V120</f>
        <v>3000</v>
      </c>
      <c r="X53" s="672">
        <f>'Datu ievade'!W120</f>
        <v>3000</v>
      </c>
      <c r="Y53" s="672">
        <f>'Datu ievade'!X120</f>
        <v>3000</v>
      </c>
      <c r="Z53" s="672">
        <f>'Datu ievade'!Y120</f>
        <v>3000</v>
      </c>
      <c r="AA53" s="672">
        <f>'Datu ievade'!Z120</f>
        <v>3000</v>
      </c>
      <c r="AB53" s="672">
        <f>'Datu ievade'!AA120</f>
        <v>3000</v>
      </c>
      <c r="AC53" s="672">
        <f>'Datu ievade'!AB120</f>
        <v>3000</v>
      </c>
      <c r="AD53" s="672">
        <f>'Datu ievade'!AC120</f>
        <v>3000</v>
      </c>
      <c r="AE53" s="672">
        <f>'Datu ievade'!AD120</f>
        <v>3000</v>
      </c>
      <c r="AF53" s="672">
        <f>'Datu ievade'!AE120</f>
        <v>3000</v>
      </c>
      <c r="AG53" s="672">
        <f>'Datu ievade'!AF120</f>
        <v>3000</v>
      </c>
      <c r="AH53" s="672">
        <f>'Datu ievade'!AG120</f>
        <v>3000</v>
      </c>
      <c r="AI53" s="672">
        <f>'Datu ievade'!AH120</f>
        <v>3000</v>
      </c>
      <c r="AJ53" s="672">
        <f>'Datu ievade'!AI120</f>
        <v>3000</v>
      </c>
      <c r="AK53" s="672">
        <f>'Datu ievade'!AJ120</f>
        <v>2384.61</v>
      </c>
      <c r="AL53" s="592"/>
    </row>
    <row r="54" spans="2:38" x14ac:dyDescent="0.2">
      <c r="B54" s="31" t="str">
        <f>'Datu ievade'!A121</f>
        <v xml:space="preserve">    Atkārtotās investīcijas pamatlīdzekļos:</v>
      </c>
      <c r="C54" s="672">
        <f>'Datu ievade'!B121</f>
        <v>0</v>
      </c>
      <c r="D54" s="672">
        <f>'Datu ievade'!C121</f>
        <v>0</v>
      </c>
      <c r="E54" s="672">
        <f>'Datu ievade'!D121</f>
        <v>0</v>
      </c>
      <c r="F54" s="672">
        <f>'Datu ievade'!E121</f>
        <v>0</v>
      </c>
      <c r="G54" s="672">
        <f>'Datu ievade'!F121</f>
        <v>0</v>
      </c>
      <c r="H54" s="672">
        <f>'Datu ievade'!G121</f>
        <v>0</v>
      </c>
      <c r="I54" s="672">
        <f>'Datu ievade'!H121</f>
        <v>0</v>
      </c>
      <c r="J54" s="672">
        <f>'Datu ievade'!I121</f>
        <v>0</v>
      </c>
      <c r="K54" s="672">
        <f>'Datu ievade'!J121</f>
        <v>0</v>
      </c>
      <c r="L54" s="672">
        <f>'Datu ievade'!K121</f>
        <v>0</v>
      </c>
      <c r="M54" s="672">
        <f>'Datu ievade'!L121</f>
        <v>0</v>
      </c>
      <c r="N54" s="672">
        <f>'Datu ievade'!M121</f>
        <v>0</v>
      </c>
      <c r="O54" s="672">
        <f>'Datu ievade'!N121</f>
        <v>0</v>
      </c>
      <c r="P54" s="672">
        <f>'Datu ievade'!O121</f>
        <v>0</v>
      </c>
      <c r="Q54" s="672">
        <f>'Datu ievade'!P121</f>
        <v>0</v>
      </c>
      <c r="R54" s="672">
        <f>'Datu ievade'!Q121</f>
        <v>0</v>
      </c>
      <c r="S54" s="672">
        <f>'Datu ievade'!R121</f>
        <v>0</v>
      </c>
      <c r="T54" s="672">
        <f>'Datu ievade'!S121</f>
        <v>0</v>
      </c>
      <c r="U54" s="672">
        <f>'Datu ievade'!T121</f>
        <v>0</v>
      </c>
      <c r="V54" s="672">
        <f>'Datu ievade'!U121</f>
        <v>0</v>
      </c>
      <c r="W54" s="672">
        <f>'Datu ievade'!V121</f>
        <v>0</v>
      </c>
      <c r="X54" s="672">
        <f>'Datu ievade'!W121</f>
        <v>0</v>
      </c>
      <c r="Y54" s="672">
        <f>'Datu ievade'!X121</f>
        <v>0</v>
      </c>
      <c r="Z54" s="672">
        <f>'Datu ievade'!Y121</f>
        <v>0</v>
      </c>
      <c r="AA54" s="672">
        <f>'Datu ievade'!Z121</f>
        <v>0</v>
      </c>
      <c r="AB54" s="672">
        <f>'Datu ievade'!AA121</f>
        <v>0</v>
      </c>
      <c r="AC54" s="672">
        <f>'Datu ievade'!AB121</f>
        <v>0</v>
      </c>
      <c r="AD54" s="672">
        <f>'Datu ievade'!AC121</f>
        <v>0</v>
      </c>
      <c r="AE54" s="672">
        <f>'Datu ievade'!AD121</f>
        <v>0</v>
      </c>
      <c r="AF54" s="672">
        <f>'Datu ievade'!AE121</f>
        <v>0</v>
      </c>
      <c r="AG54" s="672">
        <f>'Datu ievade'!AF121</f>
        <v>0</v>
      </c>
      <c r="AH54" s="672">
        <f>'Datu ievade'!AG121</f>
        <v>0</v>
      </c>
      <c r="AI54" s="672">
        <f>'Datu ievade'!AH121</f>
        <v>0</v>
      </c>
      <c r="AJ54" s="672">
        <f>'Datu ievade'!AI121</f>
        <v>0</v>
      </c>
      <c r="AK54" s="672">
        <f>'Datu ievade'!AJ121</f>
        <v>0</v>
      </c>
      <c r="AL54" s="592"/>
    </row>
    <row r="55" spans="2:38" x14ac:dyDescent="0.2">
      <c r="B55" s="786" t="str">
        <f>'Datu ievade'!A122</f>
        <v>ēkās un būvēs</v>
      </c>
      <c r="C55" s="672">
        <f>'Datu ievade'!B122*C79</f>
        <v>0</v>
      </c>
      <c r="D55" s="672">
        <f>'Datu ievade'!C122*D79</f>
        <v>0</v>
      </c>
      <c r="E55" s="672">
        <f>'Datu ievade'!D122*E79</f>
        <v>0</v>
      </c>
      <c r="F55" s="672">
        <f>'Datu ievade'!E122*F79</f>
        <v>0</v>
      </c>
      <c r="G55" s="672">
        <f>'Datu ievade'!F122*G79</f>
        <v>0</v>
      </c>
      <c r="H55" s="672">
        <f>'Datu ievade'!G122*H79</f>
        <v>0</v>
      </c>
      <c r="I55" s="672">
        <f>'Datu ievade'!H122*I79</f>
        <v>0</v>
      </c>
      <c r="J55" s="672">
        <f>'Datu ievade'!I122*J79</f>
        <v>0</v>
      </c>
      <c r="K55" s="672">
        <f>'Datu ievade'!J122*K79</f>
        <v>0</v>
      </c>
      <c r="L55" s="672">
        <f>'Datu ievade'!K122*L79</f>
        <v>0</v>
      </c>
      <c r="M55" s="672">
        <f>'Datu ievade'!L122*M79</f>
        <v>0</v>
      </c>
      <c r="N55" s="672">
        <f>'Datu ievade'!M122*N79</f>
        <v>0</v>
      </c>
      <c r="O55" s="672">
        <f>'Datu ievade'!N122*O79</f>
        <v>0</v>
      </c>
      <c r="P55" s="672">
        <f>'Datu ievade'!O122*P79</f>
        <v>0</v>
      </c>
      <c r="Q55" s="672">
        <f>'Datu ievade'!P122*Q79</f>
        <v>0</v>
      </c>
      <c r="R55" s="672">
        <f>'Datu ievade'!Q122*R79</f>
        <v>0</v>
      </c>
      <c r="S55" s="672">
        <f>'Datu ievade'!R122*S79</f>
        <v>0</v>
      </c>
      <c r="T55" s="672">
        <f>'Datu ievade'!S122*T79</f>
        <v>0</v>
      </c>
      <c r="U55" s="672">
        <f>'Datu ievade'!T122*U79</f>
        <v>0</v>
      </c>
      <c r="V55" s="672">
        <f>'Datu ievade'!U122*V79</f>
        <v>0</v>
      </c>
      <c r="W55" s="672">
        <f>'Datu ievade'!V122*W79</f>
        <v>0</v>
      </c>
      <c r="X55" s="672">
        <f>'Datu ievade'!W122*X79</f>
        <v>0</v>
      </c>
      <c r="Y55" s="672">
        <f>'Datu ievade'!X122*Y79</f>
        <v>0</v>
      </c>
      <c r="Z55" s="672">
        <f>'Datu ievade'!Y122*Z79</f>
        <v>0</v>
      </c>
      <c r="AA55" s="672">
        <f>'Datu ievade'!Z122*AA79</f>
        <v>0</v>
      </c>
      <c r="AB55" s="672">
        <f>'Datu ievade'!AA122*AB79</f>
        <v>0</v>
      </c>
      <c r="AC55" s="672">
        <f>'Datu ievade'!AB122*AC79</f>
        <v>0</v>
      </c>
      <c r="AD55" s="672">
        <f>'Datu ievade'!AC122*AD79</f>
        <v>0</v>
      </c>
      <c r="AE55" s="672">
        <f>'Datu ievade'!AD122*AE79</f>
        <v>0</v>
      </c>
      <c r="AF55" s="672">
        <f>'Datu ievade'!AE122*AF79</f>
        <v>0</v>
      </c>
      <c r="AG55" s="672">
        <f>'Datu ievade'!AF122*AG79</f>
        <v>0</v>
      </c>
      <c r="AH55" s="672">
        <f>'Datu ievade'!AG122*AH79</f>
        <v>0</v>
      </c>
      <c r="AI55" s="672">
        <f>'Datu ievade'!AH122*AI79</f>
        <v>0</v>
      </c>
      <c r="AJ55" s="672">
        <f>'Datu ievade'!AI122*AJ79</f>
        <v>0</v>
      </c>
      <c r="AK55" s="672">
        <f>'Datu ievade'!AJ122*AK79</f>
        <v>0</v>
      </c>
      <c r="AL55" s="592"/>
    </row>
    <row r="56" spans="2:38" x14ac:dyDescent="0.2">
      <c r="B56" s="786" t="str">
        <f>'Datu ievade'!A123</f>
        <v>iekārtās un mašīnās</v>
      </c>
      <c r="C56" s="672">
        <f>'Datu ievade'!B123*C79</f>
        <v>0</v>
      </c>
      <c r="D56" s="672">
        <f>'Datu ievade'!C123*D79</f>
        <v>0</v>
      </c>
      <c r="E56" s="672">
        <f>'Datu ievade'!D123*E79</f>
        <v>0</v>
      </c>
      <c r="F56" s="672">
        <f>'Datu ievade'!E123*F79</f>
        <v>0</v>
      </c>
      <c r="G56" s="672">
        <f>'Datu ievade'!F123*G79</f>
        <v>0</v>
      </c>
      <c r="H56" s="672">
        <f>'Datu ievade'!G123*H79</f>
        <v>0</v>
      </c>
      <c r="I56" s="672">
        <f>'Datu ievade'!H123*I79</f>
        <v>0</v>
      </c>
      <c r="J56" s="672">
        <f>'Datu ievade'!I123*J79</f>
        <v>0</v>
      </c>
      <c r="K56" s="672">
        <f>'Datu ievade'!J123*K79</f>
        <v>0</v>
      </c>
      <c r="L56" s="672">
        <f>'Datu ievade'!K123*L79</f>
        <v>0</v>
      </c>
      <c r="M56" s="672">
        <f>'Datu ievade'!L123*M79</f>
        <v>0</v>
      </c>
      <c r="N56" s="672">
        <f>'Datu ievade'!M123*N79</f>
        <v>0</v>
      </c>
      <c r="O56" s="672">
        <f>'Datu ievade'!N123*O79</f>
        <v>0</v>
      </c>
      <c r="P56" s="672">
        <f>'Datu ievade'!O123*P79</f>
        <v>0</v>
      </c>
      <c r="Q56" s="672">
        <f>'Datu ievade'!P123*Q79</f>
        <v>0</v>
      </c>
      <c r="R56" s="672">
        <f>'Datu ievade'!Q123*R79</f>
        <v>0</v>
      </c>
      <c r="S56" s="672">
        <f>'Datu ievade'!R123*S79</f>
        <v>0</v>
      </c>
      <c r="T56" s="672">
        <f>'Datu ievade'!S123*T79</f>
        <v>0</v>
      </c>
      <c r="U56" s="672">
        <f>'Datu ievade'!T123*U79</f>
        <v>0</v>
      </c>
      <c r="V56" s="672">
        <f>'Datu ievade'!U123*V79</f>
        <v>0</v>
      </c>
      <c r="W56" s="672">
        <f>'Datu ievade'!V123*W79</f>
        <v>0</v>
      </c>
      <c r="X56" s="672">
        <f>'Datu ievade'!W123*X79</f>
        <v>0</v>
      </c>
      <c r="Y56" s="672">
        <f>'Datu ievade'!X123*Y79</f>
        <v>0</v>
      </c>
      <c r="Z56" s="672">
        <f>'Datu ievade'!Y123*Z79</f>
        <v>0</v>
      </c>
      <c r="AA56" s="672">
        <f>'Datu ievade'!Z123*AA79</f>
        <v>0</v>
      </c>
      <c r="AB56" s="672">
        <f>'Datu ievade'!AA123*AB79</f>
        <v>0</v>
      </c>
      <c r="AC56" s="672">
        <f>'Datu ievade'!AB123*AC79</f>
        <v>0</v>
      </c>
      <c r="AD56" s="672">
        <f>'Datu ievade'!AC123*AD79</f>
        <v>0</v>
      </c>
      <c r="AE56" s="672">
        <f>'Datu ievade'!AD123*AE79</f>
        <v>0</v>
      </c>
      <c r="AF56" s="672">
        <f>'Datu ievade'!AE123*AF79</f>
        <v>0</v>
      </c>
      <c r="AG56" s="672">
        <f>'Datu ievade'!AF123*AG79</f>
        <v>0</v>
      </c>
      <c r="AH56" s="672">
        <f>'Datu ievade'!AG123*AH79</f>
        <v>0</v>
      </c>
      <c r="AI56" s="672">
        <f>'Datu ievade'!AH123*AI79</f>
        <v>0</v>
      </c>
      <c r="AJ56" s="672">
        <f>'Datu ievade'!AI123*AJ79</f>
        <v>0</v>
      </c>
      <c r="AK56" s="672">
        <f>'Datu ievade'!AJ123*AK79</f>
        <v>0</v>
      </c>
      <c r="AL56" s="592"/>
    </row>
    <row r="57" spans="2:38" x14ac:dyDescent="0.2">
      <c r="B57" s="786" t="str">
        <f>'Datu ievade'!A124</f>
        <v>nemateriālajos ieguldījumos</v>
      </c>
      <c r="C57" s="672">
        <f>'Datu ievade'!B124*C79</f>
        <v>0</v>
      </c>
      <c r="D57" s="672">
        <f>'Datu ievade'!C124*D79</f>
        <v>0</v>
      </c>
      <c r="E57" s="672">
        <f>'Datu ievade'!D124*E79</f>
        <v>0</v>
      </c>
      <c r="F57" s="672">
        <f>'Datu ievade'!E124*F79</f>
        <v>0</v>
      </c>
      <c r="G57" s="672">
        <f>'Datu ievade'!F124*G79</f>
        <v>0</v>
      </c>
      <c r="H57" s="672">
        <f>'Datu ievade'!G124*H79</f>
        <v>0</v>
      </c>
      <c r="I57" s="672">
        <f>'Datu ievade'!H124*I79</f>
        <v>0</v>
      </c>
      <c r="J57" s="672">
        <f>'Datu ievade'!I124*J79</f>
        <v>0</v>
      </c>
      <c r="K57" s="672">
        <f>'Datu ievade'!J124*K79</f>
        <v>0</v>
      </c>
      <c r="L57" s="672">
        <f>'Datu ievade'!K124*L79</f>
        <v>0</v>
      </c>
      <c r="M57" s="672">
        <f>'Datu ievade'!L124*M79</f>
        <v>0</v>
      </c>
      <c r="N57" s="672">
        <f>'Datu ievade'!M124*N79</f>
        <v>0</v>
      </c>
      <c r="O57" s="672">
        <f>'Datu ievade'!N124*O79</f>
        <v>0</v>
      </c>
      <c r="P57" s="672">
        <f>'Datu ievade'!O124*P79</f>
        <v>0</v>
      </c>
      <c r="Q57" s="672">
        <f>'Datu ievade'!P124*Q79</f>
        <v>0</v>
      </c>
      <c r="R57" s="672">
        <f>'Datu ievade'!Q124*R79</f>
        <v>0</v>
      </c>
      <c r="S57" s="672">
        <f>'Datu ievade'!R124*S79</f>
        <v>0</v>
      </c>
      <c r="T57" s="672">
        <f>'Datu ievade'!S124*T79</f>
        <v>0</v>
      </c>
      <c r="U57" s="672">
        <f>'Datu ievade'!T124*U79</f>
        <v>0</v>
      </c>
      <c r="V57" s="672">
        <f>'Datu ievade'!U124*V79</f>
        <v>0</v>
      </c>
      <c r="W57" s="672">
        <f>'Datu ievade'!V124*W79</f>
        <v>0</v>
      </c>
      <c r="X57" s="672">
        <f>'Datu ievade'!W124*X79</f>
        <v>0</v>
      </c>
      <c r="Y57" s="672">
        <f>'Datu ievade'!X124*Y79</f>
        <v>0</v>
      </c>
      <c r="Z57" s="672">
        <f>'Datu ievade'!Y124*Z79</f>
        <v>0</v>
      </c>
      <c r="AA57" s="672">
        <f>'Datu ievade'!Z124*AA79</f>
        <v>0</v>
      </c>
      <c r="AB57" s="672">
        <f>'Datu ievade'!AA124*AB79</f>
        <v>0</v>
      </c>
      <c r="AC57" s="672">
        <f>'Datu ievade'!AB124*AC79</f>
        <v>0</v>
      </c>
      <c r="AD57" s="672">
        <f>'Datu ievade'!AC124*AD79</f>
        <v>0</v>
      </c>
      <c r="AE57" s="672">
        <f>'Datu ievade'!AD124*AE79</f>
        <v>0</v>
      </c>
      <c r="AF57" s="672">
        <f>'Datu ievade'!AE124*AF79</f>
        <v>0</v>
      </c>
      <c r="AG57" s="672">
        <f>'Datu ievade'!AF124*AG79</f>
        <v>0</v>
      </c>
      <c r="AH57" s="672">
        <f>'Datu ievade'!AG124*AH79</f>
        <v>0</v>
      </c>
      <c r="AI57" s="672">
        <f>'Datu ievade'!AH124*AI79</f>
        <v>0</v>
      </c>
      <c r="AJ57" s="672">
        <f>'Datu ievade'!AI124*AJ79</f>
        <v>0</v>
      </c>
      <c r="AK57" s="672">
        <f>'Datu ievade'!AJ124*AK79</f>
        <v>0</v>
      </c>
      <c r="AL57" s="592"/>
    </row>
    <row r="58" spans="2:38" x14ac:dyDescent="0.2">
      <c r="B58" s="31" t="s">
        <v>35</v>
      </c>
      <c r="C58" s="672"/>
      <c r="D58" s="672"/>
      <c r="E58" s="672"/>
      <c r="F58" s="672"/>
      <c r="G58" s="672"/>
      <c r="H58" s="672"/>
      <c r="I58" s="672"/>
      <c r="J58" s="672"/>
      <c r="K58" s="672"/>
      <c r="L58" s="672"/>
      <c r="M58" s="672"/>
      <c r="N58" s="672"/>
      <c r="O58" s="672"/>
      <c r="P58" s="672"/>
      <c r="Q58" s="672"/>
      <c r="R58" s="672"/>
      <c r="S58" s="672"/>
      <c r="T58" s="672"/>
      <c r="U58" s="672"/>
      <c r="V58" s="672"/>
      <c r="W58" s="672"/>
      <c r="X58" s="672"/>
      <c r="Y58" s="672"/>
      <c r="Z58" s="672"/>
      <c r="AA58" s="672"/>
      <c r="AB58" s="672"/>
      <c r="AC58" s="672"/>
      <c r="AD58" s="672"/>
      <c r="AE58" s="672"/>
      <c r="AF58" s="672"/>
      <c r="AG58" s="672"/>
      <c r="AH58" s="672"/>
      <c r="AI58" s="672"/>
      <c r="AJ58" s="672"/>
      <c r="AK58" s="672"/>
      <c r="AL58" s="592"/>
    </row>
    <row r="59" spans="2:38" x14ac:dyDescent="0.2">
      <c r="B59" s="31" t="s">
        <v>36</v>
      </c>
      <c r="C59" s="672">
        <f>'Datu ievade'!B126</f>
        <v>59952</v>
      </c>
      <c r="D59" s="672">
        <f>'Datu ievade'!C126</f>
        <v>59952</v>
      </c>
      <c r="E59" s="672">
        <f>'Datu ievade'!D126</f>
        <v>60000</v>
      </c>
      <c r="F59" s="672">
        <f>'Datu ievade'!E126</f>
        <v>60000</v>
      </c>
      <c r="G59" s="672">
        <f>'Datu ievade'!F126</f>
        <v>60000</v>
      </c>
      <c r="H59" s="672">
        <f>'Datu ievade'!G126</f>
        <v>60000</v>
      </c>
      <c r="I59" s="672">
        <f>'Datu ievade'!H126</f>
        <v>60000</v>
      </c>
      <c r="J59" s="672">
        <f>'Datu ievade'!I126</f>
        <v>60000</v>
      </c>
      <c r="K59" s="672">
        <f>'Datu ievade'!J126</f>
        <v>60000</v>
      </c>
      <c r="L59" s="672">
        <f>'Datu ievade'!K126</f>
        <v>60000</v>
      </c>
      <c r="M59" s="672">
        <f>'Datu ievade'!L126</f>
        <v>60000</v>
      </c>
      <c r="N59" s="672">
        <f>'Datu ievade'!M126</f>
        <v>60000</v>
      </c>
      <c r="O59" s="672">
        <f>'Datu ievade'!N126</f>
        <v>60000</v>
      </c>
      <c r="P59" s="672">
        <f>'Datu ievade'!O126</f>
        <v>60000</v>
      </c>
      <c r="Q59" s="672">
        <f>'Datu ievade'!P126</f>
        <v>60000</v>
      </c>
      <c r="R59" s="672">
        <f>'Datu ievade'!Q126</f>
        <v>60000</v>
      </c>
      <c r="S59" s="672">
        <f>'Datu ievade'!R126</f>
        <v>60000</v>
      </c>
      <c r="T59" s="672">
        <f>'Datu ievade'!S126</f>
        <v>60000</v>
      </c>
      <c r="U59" s="672">
        <f>'Datu ievade'!T126</f>
        <v>60000</v>
      </c>
      <c r="V59" s="672">
        <f>'Datu ievade'!U126</f>
        <v>60000</v>
      </c>
      <c r="W59" s="672">
        <f>'Datu ievade'!V126</f>
        <v>60000</v>
      </c>
      <c r="X59" s="672">
        <f>'Datu ievade'!W126</f>
        <v>60000</v>
      </c>
      <c r="Y59" s="672">
        <f>'Datu ievade'!X126</f>
        <v>60000</v>
      </c>
      <c r="Z59" s="672">
        <f>'Datu ievade'!Y126</f>
        <v>60000</v>
      </c>
      <c r="AA59" s="672">
        <f>'Datu ievade'!Z126</f>
        <v>60000</v>
      </c>
      <c r="AB59" s="672">
        <f>'Datu ievade'!AA126</f>
        <v>60000</v>
      </c>
      <c r="AC59" s="672">
        <f>'Datu ievade'!AB126</f>
        <v>60000</v>
      </c>
      <c r="AD59" s="672">
        <f>'Datu ievade'!AC126</f>
        <v>60000</v>
      </c>
      <c r="AE59" s="672">
        <f>'Datu ievade'!AD126</f>
        <v>60000</v>
      </c>
      <c r="AF59" s="672">
        <f>'Datu ievade'!AE126</f>
        <v>60000</v>
      </c>
      <c r="AG59" s="672">
        <f>'Datu ievade'!AF126</f>
        <v>60000</v>
      </c>
      <c r="AH59" s="672">
        <f>'Datu ievade'!AG126</f>
        <v>60000</v>
      </c>
      <c r="AI59" s="672">
        <f>'Datu ievade'!AH126</f>
        <v>60000</v>
      </c>
      <c r="AJ59" s="672">
        <f>'Datu ievade'!AI126</f>
        <v>60000</v>
      </c>
      <c r="AK59" s="672">
        <f>'Datu ievade'!AJ126</f>
        <v>59953</v>
      </c>
      <c r="AL59" s="592"/>
    </row>
    <row r="60" spans="2:38" x14ac:dyDescent="0.2">
      <c r="B60" s="31" t="s">
        <v>37</v>
      </c>
      <c r="C60" s="672">
        <f>'Datu ievade'!B127</f>
        <v>14142.676799999999</v>
      </c>
      <c r="D60" s="672">
        <f>'Datu ievade'!C127</f>
        <v>14442.436799999999</v>
      </c>
      <c r="E60" s="672">
        <f>'Datu ievade'!D127</f>
        <v>14454</v>
      </c>
      <c r="F60" s="672">
        <f>'Datu ievade'!E127</f>
        <v>14454</v>
      </c>
      <c r="G60" s="672">
        <f>'Datu ievade'!F127</f>
        <v>14454</v>
      </c>
      <c r="H60" s="672">
        <f>'Datu ievade'!G127</f>
        <v>14454</v>
      </c>
      <c r="I60" s="672">
        <f>'Datu ievade'!H127</f>
        <v>14454</v>
      </c>
      <c r="J60" s="672">
        <f>'Datu ievade'!I127</f>
        <v>14454</v>
      </c>
      <c r="K60" s="672">
        <f>'Datu ievade'!J127</f>
        <v>14454</v>
      </c>
      <c r="L60" s="672">
        <f>'Datu ievade'!K127</f>
        <v>14454</v>
      </c>
      <c r="M60" s="672">
        <f>'Datu ievade'!L127</f>
        <v>14454</v>
      </c>
      <c r="N60" s="672">
        <f>'Datu ievade'!M127</f>
        <v>14454</v>
      </c>
      <c r="O60" s="672">
        <f>'Datu ievade'!N127</f>
        <v>14454</v>
      </c>
      <c r="P60" s="672">
        <f>'Datu ievade'!O127</f>
        <v>14454</v>
      </c>
      <c r="Q60" s="672">
        <f>'Datu ievade'!P127</f>
        <v>14454</v>
      </c>
      <c r="R60" s="672">
        <f>'Datu ievade'!Q127</f>
        <v>14454</v>
      </c>
      <c r="S60" s="672">
        <f>'Datu ievade'!R127</f>
        <v>14454</v>
      </c>
      <c r="T60" s="672">
        <f>'Datu ievade'!S127</f>
        <v>14454</v>
      </c>
      <c r="U60" s="672">
        <f>'Datu ievade'!T127</f>
        <v>14454</v>
      </c>
      <c r="V60" s="672">
        <f>'Datu ievade'!U127</f>
        <v>14454</v>
      </c>
      <c r="W60" s="672">
        <f>'Datu ievade'!V127</f>
        <v>14454</v>
      </c>
      <c r="X60" s="672">
        <f>'Datu ievade'!W127</f>
        <v>14454</v>
      </c>
      <c r="Y60" s="672">
        <f>'Datu ievade'!X127</f>
        <v>14454</v>
      </c>
      <c r="Z60" s="672">
        <f>'Datu ievade'!Y127</f>
        <v>14454</v>
      </c>
      <c r="AA60" s="672">
        <f>'Datu ievade'!Z127</f>
        <v>14454</v>
      </c>
      <c r="AB60" s="672">
        <f>'Datu ievade'!AA127</f>
        <v>14454</v>
      </c>
      <c r="AC60" s="672">
        <f>'Datu ievade'!AB127</f>
        <v>14454</v>
      </c>
      <c r="AD60" s="672">
        <f>'Datu ievade'!AC127</f>
        <v>14454</v>
      </c>
      <c r="AE60" s="672">
        <f>'Datu ievade'!AD127</f>
        <v>14454</v>
      </c>
      <c r="AF60" s="672">
        <f>'Datu ievade'!AE127</f>
        <v>14454</v>
      </c>
      <c r="AG60" s="672">
        <f>'Datu ievade'!AF127</f>
        <v>14454</v>
      </c>
      <c r="AH60" s="672">
        <f>'Datu ievade'!AG127</f>
        <v>14454</v>
      </c>
      <c r="AI60" s="672">
        <f>'Datu ievade'!AH127</f>
        <v>14454</v>
      </c>
      <c r="AJ60" s="672">
        <f>'Datu ievade'!AI127</f>
        <v>14454</v>
      </c>
      <c r="AK60" s="672">
        <f>'Datu ievade'!AJ127</f>
        <v>14142.912700000001</v>
      </c>
    </row>
    <row r="61" spans="2:38" x14ac:dyDescent="0.2">
      <c r="B61" s="31" t="s">
        <v>38</v>
      </c>
      <c r="C61" s="672">
        <f>'Datu ievade'!B128</f>
        <v>0</v>
      </c>
      <c r="D61" s="672">
        <f>'Datu ievade'!C128</f>
        <v>0</v>
      </c>
      <c r="E61" s="672">
        <f>'Datu ievade'!D128</f>
        <v>0</v>
      </c>
      <c r="F61" s="672">
        <f>'Datu ievade'!E128</f>
        <v>0</v>
      </c>
      <c r="G61" s="672">
        <f>'Datu ievade'!F128</f>
        <v>0</v>
      </c>
      <c r="H61" s="672">
        <f>'Datu ievade'!G128</f>
        <v>0</v>
      </c>
      <c r="I61" s="672">
        <f>'Datu ievade'!H128</f>
        <v>0</v>
      </c>
      <c r="J61" s="672">
        <f>'Datu ievade'!I128</f>
        <v>0</v>
      </c>
      <c r="K61" s="672">
        <f>'Datu ievade'!J128</f>
        <v>0</v>
      </c>
      <c r="L61" s="672">
        <f>'Datu ievade'!K128</f>
        <v>0</v>
      </c>
      <c r="M61" s="672">
        <f>'Datu ievade'!L128</f>
        <v>0</v>
      </c>
      <c r="N61" s="672">
        <f>'Datu ievade'!M128</f>
        <v>0</v>
      </c>
      <c r="O61" s="672">
        <f>'Datu ievade'!N128</f>
        <v>0</v>
      </c>
      <c r="P61" s="672">
        <f>'Datu ievade'!O128</f>
        <v>0</v>
      </c>
      <c r="Q61" s="672">
        <f>'Datu ievade'!P128</f>
        <v>0</v>
      </c>
      <c r="R61" s="672">
        <f>'Datu ievade'!Q128</f>
        <v>0</v>
      </c>
      <c r="S61" s="672">
        <f>'Datu ievade'!R128</f>
        <v>0</v>
      </c>
      <c r="T61" s="672">
        <f>'Datu ievade'!S128</f>
        <v>0</v>
      </c>
      <c r="U61" s="672">
        <f>'Datu ievade'!T128</f>
        <v>0</v>
      </c>
      <c r="V61" s="672">
        <f>'Datu ievade'!U128</f>
        <v>0</v>
      </c>
      <c r="W61" s="672">
        <f>'Datu ievade'!V128</f>
        <v>0</v>
      </c>
      <c r="X61" s="672">
        <f>'Datu ievade'!W128</f>
        <v>0</v>
      </c>
      <c r="Y61" s="672">
        <f>'Datu ievade'!X128</f>
        <v>0</v>
      </c>
      <c r="Z61" s="672">
        <f>'Datu ievade'!Y128</f>
        <v>0</v>
      </c>
      <c r="AA61" s="672">
        <f>'Datu ievade'!Z128</f>
        <v>0</v>
      </c>
      <c r="AB61" s="672">
        <f>'Datu ievade'!AA128</f>
        <v>0</v>
      </c>
      <c r="AC61" s="672">
        <f>'Datu ievade'!AB128</f>
        <v>0</v>
      </c>
      <c r="AD61" s="672">
        <f>'Datu ievade'!AC128</f>
        <v>0</v>
      </c>
      <c r="AE61" s="672">
        <f>'Datu ievade'!AD128</f>
        <v>0</v>
      </c>
      <c r="AF61" s="672">
        <f>'Datu ievade'!AE128</f>
        <v>0</v>
      </c>
      <c r="AG61" s="672">
        <f>'Datu ievade'!AF128</f>
        <v>0</v>
      </c>
      <c r="AH61" s="672">
        <f>'Datu ievade'!AG128</f>
        <v>0</v>
      </c>
      <c r="AI61" s="672">
        <f>'Datu ievade'!AH128</f>
        <v>0</v>
      </c>
      <c r="AJ61" s="672">
        <f>'Datu ievade'!AI128</f>
        <v>0</v>
      </c>
      <c r="AK61" s="672">
        <f>'Datu ievade'!AJ128</f>
        <v>0</v>
      </c>
    </row>
    <row r="64" spans="2:38" x14ac:dyDescent="0.2">
      <c r="B64" s="32" t="s">
        <v>40</v>
      </c>
      <c r="C64" s="595">
        <f>'Datu ievade'!B137</f>
        <v>0.05</v>
      </c>
      <c r="D64" s="595">
        <f>'Datu ievade'!C137</f>
        <v>0.05</v>
      </c>
      <c r="E64" s="595">
        <f>'Datu ievade'!B143</f>
        <v>0.05</v>
      </c>
      <c r="F64" s="595">
        <f>'Datu ievade'!C143</f>
        <v>0.05</v>
      </c>
      <c r="G64" s="595">
        <f>'Datu ievade'!D143</f>
        <v>0.05</v>
      </c>
      <c r="H64" s="595">
        <f>'Datu ievade'!E143</f>
        <v>0.05</v>
      </c>
      <c r="I64" s="595">
        <f>'Datu ievade'!F143</f>
        <v>0.05</v>
      </c>
      <c r="J64" s="595">
        <f>'Datu ievade'!G143</f>
        <v>0.05</v>
      </c>
      <c r="K64" s="595">
        <f>'Datu ievade'!H143</f>
        <v>0.05</v>
      </c>
      <c r="L64" s="595">
        <f>'Datu ievade'!I143</f>
        <v>0.05</v>
      </c>
      <c r="M64" s="595">
        <f>'Datu ievade'!J143</f>
        <v>0.05</v>
      </c>
      <c r="N64" s="595">
        <f>'Datu ievade'!K143</f>
        <v>0.05</v>
      </c>
      <c r="O64" s="595">
        <f>'Datu ievade'!L143</f>
        <v>0.05</v>
      </c>
      <c r="P64" s="595">
        <f>'Datu ievade'!M143</f>
        <v>0.05</v>
      </c>
      <c r="Q64" s="595">
        <f>'Datu ievade'!N143</f>
        <v>0.05</v>
      </c>
      <c r="R64" s="595">
        <f>'Datu ievade'!O143</f>
        <v>0.05</v>
      </c>
      <c r="S64" s="595">
        <f>'Datu ievade'!P143</f>
        <v>0.05</v>
      </c>
      <c r="T64" s="595">
        <f>'Datu ievade'!Q143</f>
        <v>0.05</v>
      </c>
      <c r="U64" s="595">
        <f>'Datu ievade'!R143</f>
        <v>0.05</v>
      </c>
      <c r="V64" s="595">
        <f>'Datu ievade'!S143</f>
        <v>0.05</v>
      </c>
      <c r="W64" s="595">
        <f>'Datu ievade'!T143</f>
        <v>0.05</v>
      </c>
      <c r="X64" s="595">
        <f>'Datu ievade'!U143</f>
        <v>0.05</v>
      </c>
      <c r="Y64" s="595">
        <f>'Datu ievade'!V143</f>
        <v>0.05</v>
      </c>
      <c r="Z64" s="595">
        <f>'Datu ievade'!W143</f>
        <v>0.05</v>
      </c>
      <c r="AA64" s="595">
        <f>'Datu ievade'!X143</f>
        <v>0.05</v>
      </c>
      <c r="AB64" s="595">
        <f>'Datu ievade'!Y143</f>
        <v>0.05</v>
      </c>
      <c r="AC64" s="595">
        <f>'Datu ievade'!Z143</f>
        <v>0.05</v>
      </c>
      <c r="AD64" s="595">
        <f>'Datu ievade'!AA143</f>
        <v>0.05</v>
      </c>
      <c r="AE64" s="595">
        <f>'Datu ievade'!AB143</f>
        <v>0.05</v>
      </c>
      <c r="AF64" s="595">
        <f>'Datu ievade'!AC143</f>
        <v>0.05</v>
      </c>
      <c r="AG64" s="595">
        <f>'Datu ievade'!AD143</f>
        <v>0.05</v>
      </c>
      <c r="AH64" s="595">
        <f>'Datu ievade'!AE143</f>
        <v>0.05</v>
      </c>
      <c r="AI64" s="595">
        <f>'Datu ievade'!AF143</f>
        <v>0.05</v>
      </c>
      <c r="AJ64" s="595">
        <f>'Datu ievade'!AG143</f>
        <v>0.05</v>
      </c>
      <c r="AK64" s="595">
        <f>'Datu ievade'!AH143</f>
        <v>0.05</v>
      </c>
      <c r="AL64" s="595"/>
    </row>
    <row r="67" spans="2:38" x14ac:dyDescent="0.2">
      <c r="B67" s="33" t="s">
        <v>351</v>
      </c>
      <c r="C67" s="673">
        <v>0</v>
      </c>
      <c r="D67" s="673">
        <f>'Datu ievade'!B154</f>
        <v>50000</v>
      </c>
      <c r="E67" s="673">
        <f>'Datu ievade'!C154</f>
        <v>0</v>
      </c>
      <c r="F67" s="673">
        <f>'Datu ievade'!D154</f>
        <v>0</v>
      </c>
      <c r="G67" s="673">
        <f>'Datu ievade'!E154</f>
        <v>0</v>
      </c>
      <c r="H67" s="673">
        <f>'Datu ievade'!F154</f>
        <v>0</v>
      </c>
      <c r="I67" s="673">
        <f>'Datu ievade'!G154</f>
        <v>0</v>
      </c>
      <c r="J67" s="673">
        <f>'Datu ievade'!H154</f>
        <v>0</v>
      </c>
      <c r="K67" s="673">
        <v>0</v>
      </c>
      <c r="L67" s="673">
        <f>'Datu ievade'!J154</f>
        <v>0</v>
      </c>
      <c r="M67" s="673">
        <f>'Datu ievade'!K154</f>
        <v>0</v>
      </c>
      <c r="N67" s="673">
        <f>IFERROR(HLOOKUP(N$2,'Datu ievade'!$B$153:$G$170,2,FALSE),0)</f>
        <v>0</v>
      </c>
      <c r="O67" s="673">
        <f>IFERROR(HLOOKUP(O$2,'Datu ievade'!$B$153:$G$170,2,FALSE),0)</f>
        <v>0</v>
      </c>
      <c r="P67" s="673">
        <f>IFERROR(HLOOKUP(P$2,'Datu ievade'!$B$153:$G$170,2,FALSE),0)</f>
        <v>0</v>
      </c>
      <c r="Q67" s="673">
        <f>IFERROR(HLOOKUP(Q$2,'Datu ievade'!$B$153:$G$170,2,FALSE),0)</f>
        <v>0</v>
      </c>
      <c r="R67" s="673">
        <f>IFERROR(HLOOKUP(R$2,'Datu ievade'!$B$153:$G$170,2,FALSE),0)</f>
        <v>0</v>
      </c>
      <c r="S67" s="673">
        <f>IFERROR(HLOOKUP(S$2,'Datu ievade'!$B$153:$G$170,2,FALSE),0)</f>
        <v>0</v>
      </c>
      <c r="T67" s="673">
        <f>IFERROR(HLOOKUP(T$2,'Datu ievade'!$B$153:$G$170,2,FALSE),0)</f>
        <v>0</v>
      </c>
      <c r="U67" s="673">
        <f>IFERROR(HLOOKUP(U$2,'Datu ievade'!$B$153:$G$170,2,FALSE),0)</f>
        <v>0</v>
      </c>
      <c r="V67" s="673">
        <f>IFERROR(HLOOKUP(V$2,'Datu ievade'!$B$153:$G$170,2,FALSE),0)</f>
        <v>0</v>
      </c>
      <c r="W67" s="673">
        <f>IFERROR(HLOOKUP(W$2,'Datu ievade'!$B$153:$G$170,2,FALSE),0)</f>
        <v>0</v>
      </c>
      <c r="X67" s="673">
        <f>IFERROR(HLOOKUP(X$2,'Datu ievade'!$B$153:$G$170,2,FALSE),0)</f>
        <v>0</v>
      </c>
      <c r="Y67" s="673">
        <f>IFERROR(HLOOKUP(Y$2,'Datu ievade'!$B$153:$G$170,2,FALSE),0)</f>
        <v>0</v>
      </c>
      <c r="Z67" s="673">
        <f>IFERROR(HLOOKUP(Z$2,'Datu ievade'!$B$153:$G$170,2,FALSE),0)</f>
        <v>0</v>
      </c>
      <c r="AA67" s="673">
        <f>IFERROR(HLOOKUP(AA$2,'Datu ievade'!$B$153:$G$170,2,FALSE),0)</f>
        <v>0</v>
      </c>
      <c r="AB67" s="673">
        <f>IFERROR(HLOOKUP(AB$2,'Datu ievade'!$B$153:$G$170,2,FALSE),0)</f>
        <v>0</v>
      </c>
      <c r="AC67" s="673">
        <f>IFERROR(HLOOKUP(AC$2,'Datu ievade'!$B$153:$G$170,2,FALSE),0)</f>
        <v>0</v>
      </c>
      <c r="AD67" s="673">
        <f>IFERROR(HLOOKUP(AD$2,'Datu ievade'!$B$153:$G$170,2,FALSE),0)</f>
        <v>0</v>
      </c>
      <c r="AE67" s="673">
        <f>IFERROR(HLOOKUP(AE$2,'Datu ievade'!$B$153:$G$170,2,FALSE),0)</f>
        <v>0</v>
      </c>
      <c r="AF67" s="673">
        <f>IFERROR(HLOOKUP(AF$2,'Datu ievade'!$B$153:$G$170,2,FALSE),0)</f>
        <v>0</v>
      </c>
      <c r="AG67" s="673">
        <f>IFERROR(HLOOKUP(AG$2,'Datu ievade'!$B$153:$G$170,2,FALSE),0)</f>
        <v>0</v>
      </c>
      <c r="AH67" s="673">
        <f>IFERROR(HLOOKUP(AH$2,'Datu ievade'!$B$153:$G$170,2,FALSE),0)</f>
        <v>0</v>
      </c>
      <c r="AI67" s="673">
        <f>IFERROR(HLOOKUP(AI$2,'Datu ievade'!$B$153:$G$170,2,FALSE),0)</f>
        <v>0</v>
      </c>
      <c r="AJ67" s="673">
        <f>IFERROR(HLOOKUP(AJ$2,'Datu ievade'!$B$153:$G$170,2,FALSE),0)</f>
        <v>0</v>
      </c>
      <c r="AK67" s="673">
        <f>IFERROR(HLOOKUP(AK$2,'Datu ievade'!$B$153:$G$170,2,FALSE),0)</f>
        <v>0</v>
      </c>
    </row>
    <row r="68" spans="2:38" x14ac:dyDescent="0.2">
      <c r="B68" s="31" t="s">
        <v>410</v>
      </c>
      <c r="C68" s="673">
        <v>0</v>
      </c>
      <c r="D68" s="673">
        <f>IF(OR(D2&lt;'Datu ievade'!$B$15,NOT(SUM($C$68:C68)&lt;SUM($C$67:C67))),0,SUM($C$67:$AI$67)/'Datu ievade'!$B$156)</f>
        <v>0</v>
      </c>
      <c r="E68" s="673">
        <f>IF(OR(E2&lt;'Datu ievade'!$B$15,NOT(SUM($C$68:D68)&lt;SUM($C$67:D67))),0,SUM($C$67:$AI$67)/'Datu ievade'!$B$156)</f>
        <v>0</v>
      </c>
      <c r="F68" s="673">
        <f>IF(OR(F2&lt;'Datu ievade'!$B$15,NOT(SUM($C$68:E68)&lt;SUM($C$67:E67))),0,SUM($C$67:$AI$67)/'Datu ievade'!$B$156)</f>
        <v>5000</v>
      </c>
      <c r="G68" s="673">
        <f>IF(OR(G2&lt;'Datu ievade'!$B$15,NOT(SUM($C$68:F68)&lt;SUM($C$67:F67))),0,SUM($C$67:$AI$67)/'Datu ievade'!$B$156)</f>
        <v>5000</v>
      </c>
      <c r="H68" s="673">
        <f>IF(OR(H2&lt;'Datu ievade'!$B$15,NOT(SUM($C$68:G68)&lt;SUM($C$67:G67))),0,SUM($C$67:$AI$67)/'Datu ievade'!$B$156)</f>
        <v>5000</v>
      </c>
      <c r="I68" s="673">
        <f>IF(OR(I2&lt;'Datu ievade'!$B$15,NOT(SUM($C$68:H68)&lt;SUM($C$67:H67))),0,SUM($C$67:$AI$67)/'Datu ievade'!$B$156)</f>
        <v>5000</v>
      </c>
      <c r="J68" s="673">
        <f>IF(OR(J2&lt;'Datu ievade'!$B$15,NOT(SUM($C$68:I68)&lt;SUM($C$67:I67))),0,SUM($C$67:$AI$67)/'Datu ievade'!$B$156)</f>
        <v>5000</v>
      </c>
      <c r="K68" s="673">
        <f>IF(OR(K2&lt;'Datu ievade'!$B$15,NOT(SUM($C$68:J68)&lt;SUM($C$67:J67))),0,SUM($C$67:$AI$67)/'Datu ievade'!$B$156)</f>
        <v>5000</v>
      </c>
      <c r="L68" s="673">
        <f>IF(OR(L2&lt;'Datu ievade'!$B$15,NOT(SUM($C$68:K68)&lt;SUM($C$67:K67))),0,SUM($C$67:$AI$67)/'Datu ievade'!$B$156)</f>
        <v>5000</v>
      </c>
      <c r="M68" s="673">
        <f>IF(OR(M2&lt;'Datu ievade'!$B$15,NOT(SUM($C$68:L68)&lt;SUM($C$67:L67))),0,SUM($C$67:$AI$67)/'Datu ievade'!$B$156)</f>
        <v>5000</v>
      </c>
      <c r="N68" s="673">
        <f>IF(OR(N2&lt;'Datu ievade'!$B$15,NOT(SUM($C$68:M68)&lt;SUM($C$67:M67))),0,SUM($C$67:$AI$67)/'Datu ievade'!$B$156)</f>
        <v>5000</v>
      </c>
      <c r="O68" s="673">
        <f>IF(OR(O2&lt;'Datu ievade'!$B$15,NOT(SUM($C$68:N68)&lt;SUM($C$67:N67))),0,SUM($C$67:$AI$67)/'Datu ievade'!$B$156)</f>
        <v>5000</v>
      </c>
      <c r="P68" s="673">
        <f>IF(OR(P2&lt;'Datu ievade'!$B$15,NOT(SUM($C$68:O68)&lt;SUM($C$67:O67))),0,SUM($C$67:$AI$67)/'Datu ievade'!$B$156)</f>
        <v>0</v>
      </c>
      <c r="Q68" s="673">
        <f>IF(OR(Q2&lt;'Datu ievade'!$B$15,NOT(SUM($C$68:P68)&lt;SUM($C$67:P67))),0,SUM($C$67:$AI$67)/'Datu ievade'!$B$156)</f>
        <v>0</v>
      </c>
      <c r="R68" s="673">
        <f>IF(OR(R2&lt;'Datu ievade'!$B$15,NOT(SUM($C$68:Q68)&lt;SUM($C$67:Q67))),0,SUM($C$67:$AI$67)/'Datu ievade'!$B$156)</f>
        <v>0</v>
      </c>
      <c r="S68" s="673">
        <f>IF(OR(S2&lt;'Datu ievade'!$B$15,NOT(SUM($C$68:R68)&lt;SUM($C$67:R67))),0,SUM($C$67:$AI$67)/'Datu ievade'!$B$156)</f>
        <v>0</v>
      </c>
      <c r="T68" s="673">
        <f>IF(OR(T2&lt;'Datu ievade'!$B$15,NOT(SUM($C$68:S68)&lt;SUM($C$67:S67))),0,SUM($C$67:$AI$67)/'Datu ievade'!$B$156)</f>
        <v>0</v>
      </c>
      <c r="U68" s="673">
        <f>IF(OR(U2&lt;'Datu ievade'!$B$15,NOT(SUM($C$68:T68)&lt;SUM($C$67:T67))),0,SUM($C$67:$AI$67)/'Datu ievade'!$B$156)</f>
        <v>0</v>
      </c>
      <c r="V68" s="673">
        <f>IF(OR(V2&lt;'Datu ievade'!$B$15,NOT(SUM($C$68:U68)&lt;SUM($C$67:U67))),0,SUM($C$67:$AI$67)/'Datu ievade'!$B$156)</f>
        <v>0</v>
      </c>
      <c r="W68" s="673">
        <f>IF(OR(W2&lt;'Datu ievade'!$B$15,NOT(SUM($C$68:V68)&lt;SUM($C$67:V67))),0,SUM($C$67:$AI$67)/'Datu ievade'!$B$156)</f>
        <v>0</v>
      </c>
      <c r="X68" s="673">
        <f>IF(OR(X2&lt;'Datu ievade'!$B$15,NOT(SUM($C$68:W68)&lt;SUM($C$67:W67))),0,SUM($C$67:$AI$67)/'Datu ievade'!$B$156)</f>
        <v>0</v>
      </c>
      <c r="Y68" s="673">
        <f>IF(OR(Y2&lt;'Datu ievade'!$B$15,NOT(SUM($C$68:X68)&lt;SUM($C$67:X67))),0,SUM($C$67:$AI$67)/'Datu ievade'!$B$156)</f>
        <v>0</v>
      </c>
      <c r="Z68" s="673">
        <f>IF(OR(Z2&lt;'Datu ievade'!$B$15,NOT(SUM($C$68:Y68)&lt;SUM($C$67:Y67))),0,SUM($C$67:$AI$67)/'Datu ievade'!$B$156)</f>
        <v>0</v>
      </c>
      <c r="AA68" s="673">
        <f>IF(OR(AA2&lt;'Datu ievade'!$B$15,NOT(SUM($C$68:Z68)&lt;SUM($C$67:Z67))),0,SUM($C$67:$AI$67)/'Datu ievade'!$B$156)</f>
        <v>0</v>
      </c>
      <c r="AB68" s="673">
        <f>IF(OR(AB2&lt;'Datu ievade'!$B$15,NOT(SUM($C$68:AA68)&lt;SUM($C$67:AA67))),0,SUM($C$67:$AI$67)/'Datu ievade'!$B$156)</f>
        <v>0</v>
      </c>
      <c r="AC68" s="673">
        <f>IF(OR(AC2&lt;'Datu ievade'!$B$15,NOT(SUM($C$68:AB68)&lt;SUM($C$67:AB67))),0,SUM($C$67:$AI$67)/'Datu ievade'!$B$156)</f>
        <v>0</v>
      </c>
      <c r="AD68" s="673">
        <f>IF(OR(AD2&lt;'Datu ievade'!$B$15,NOT(SUM($C$68:AC68)&lt;SUM($C$67:AC67))),0,SUM($C$67:$AI$67)/'Datu ievade'!$B$156)</f>
        <v>0</v>
      </c>
      <c r="AE68" s="673">
        <f>IF(OR(AE2&lt;'Datu ievade'!$B$15,NOT(SUM($C$68:AD68)&lt;SUM($C$67:AD67))),0,SUM($C$67:$AI$67)/'Datu ievade'!$B$156)</f>
        <v>0</v>
      </c>
      <c r="AF68" s="673">
        <f>IF(OR(AF2&lt;'Datu ievade'!$B$15,NOT(SUM($C$68:AE68)&lt;SUM($C$67:AE67))),0,SUM($C$67:$AI$67)/'Datu ievade'!$B$156)</f>
        <v>0</v>
      </c>
      <c r="AG68" s="673">
        <f>IF(OR(AG2&lt;'Datu ievade'!$B$15,NOT(SUM($C$68:AF68)&lt;SUM($C$67:AF67))),0,SUM($C$67:$AI$67)/'Datu ievade'!$B$156)</f>
        <v>0</v>
      </c>
      <c r="AH68" s="673">
        <f>IF(OR(AH2&lt;'Datu ievade'!$B$15,NOT(SUM($C$68:AG68)&lt;SUM($C$67:AG67))),0,SUM($C$67:$AI$67)/'Datu ievade'!$B$156)</f>
        <v>0</v>
      </c>
      <c r="AI68" s="673">
        <f>IF(OR(AI2&lt;'Datu ievade'!$B$15,NOT(SUM($C$68:AH68)&lt;SUM($C$67:AH67))),0,SUM($C$67:$AI$67)/'Datu ievade'!$B$156)</f>
        <v>0</v>
      </c>
      <c r="AJ68" s="673">
        <f>IF(OR(AJ2&lt;'Datu ievade'!$B$15,NOT(SUM($C$68:AI68)&lt;SUM($C$67:AI67))),0,SUM($C$67:$AI$67)/'Datu ievade'!$B$156)</f>
        <v>0</v>
      </c>
      <c r="AK68" s="673">
        <f>IF(OR(AK2&lt;'Datu ievade'!$B$15,NOT(SUM($C$68:AJ68)&lt;SUM($C$67:AJ67))),0,SUM($C$67:$AI$67)/'Datu ievade'!$B$156)</f>
        <v>0</v>
      </c>
      <c r="AL68" s="591"/>
    </row>
    <row r="69" spans="2:38" x14ac:dyDescent="0.2">
      <c r="B69" s="31"/>
      <c r="C69" s="673"/>
      <c r="D69" s="673"/>
      <c r="E69" s="673"/>
      <c r="F69" s="673"/>
      <c r="G69" s="673"/>
      <c r="H69" s="673"/>
      <c r="I69" s="673"/>
      <c r="J69" s="673"/>
      <c r="K69" s="673"/>
      <c r="L69" s="673"/>
      <c r="M69" s="673"/>
      <c r="N69" s="673"/>
      <c r="O69" s="673"/>
      <c r="P69" s="673"/>
      <c r="Q69" s="673"/>
      <c r="R69" s="673"/>
      <c r="S69" s="673"/>
      <c r="T69" s="673"/>
      <c r="U69" s="673"/>
      <c r="V69" s="673"/>
      <c r="W69" s="673"/>
      <c r="X69" s="673"/>
      <c r="Y69" s="673"/>
      <c r="Z69" s="673"/>
      <c r="AA69" s="673"/>
      <c r="AB69" s="673"/>
      <c r="AC69" s="673"/>
      <c r="AD69" s="673"/>
      <c r="AE69" s="673"/>
      <c r="AF69" s="673"/>
      <c r="AG69" s="673"/>
      <c r="AH69" s="673"/>
      <c r="AI69" s="673"/>
      <c r="AJ69" s="673"/>
      <c r="AK69" s="673"/>
      <c r="AL69" s="591"/>
    </row>
    <row r="70" spans="2:38" x14ac:dyDescent="0.2">
      <c r="B70" s="33" t="s">
        <v>261</v>
      </c>
      <c r="C70" s="673"/>
      <c r="D70" s="673">
        <f>'Datu ievade'!B168</f>
        <v>17700600</v>
      </c>
      <c r="E70" s="673">
        <f>'Datu ievade'!C168</f>
        <v>17700600</v>
      </c>
      <c r="F70" s="673">
        <f>'Datu ievade'!D168</f>
        <v>17700600</v>
      </c>
      <c r="G70" s="673">
        <f>'Datu ievade'!E168</f>
        <v>17700600</v>
      </c>
      <c r="H70" s="673">
        <f>'Datu ievade'!F168</f>
        <v>17700600</v>
      </c>
      <c r="I70" s="673">
        <f>'Datu ievade'!G168</f>
        <v>17700600</v>
      </c>
      <c r="J70" s="673">
        <f>'Datu ievade'!H168</f>
        <v>17700600</v>
      </c>
      <c r="K70" s="673">
        <f>'Datu ievade'!I168</f>
        <v>17700600</v>
      </c>
      <c r="L70" s="673">
        <f>'Datu ievade'!J168</f>
        <v>17700600</v>
      </c>
      <c r="M70" s="673">
        <f>'Datu ievade'!K168</f>
        <v>17700600</v>
      </c>
      <c r="N70" s="673">
        <f>'Datu ievade'!L168</f>
        <v>17700600</v>
      </c>
      <c r="O70" s="673">
        <f>'Datu ievade'!M168</f>
        <v>17700600</v>
      </c>
      <c r="P70" s="673">
        <f>'Datu ievade'!N168</f>
        <v>17700600</v>
      </c>
      <c r="Q70" s="673">
        <f>'Datu ievade'!O168</f>
        <v>17700600</v>
      </c>
      <c r="R70" s="673">
        <f>'Datu ievade'!P168</f>
        <v>17700600</v>
      </c>
      <c r="S70" s="673">
        <f>'Datu ievade'!Q168</f>
        <v>17700600</v>
      </c>
      <c r="T70" s="673">
        <f>'Datu ievade'!R168</f>
        <v>17700600</v>
      </c>
      <c r="U70" s="673">
        <f>'Datu ievade'!S168</f>
        <v>17700600</v>
      </c>
      <c r="V70" s="673">
        <f>'Datu ievade'!T168</f>
        <v>17700600</v>
      </c>
      <c r="W70" s="673">
        <f>'Datu ievade'!U168</f>
        <v>17700600</v>
      </c>
      <c r="X70" s="673">
        <f>'Datu ievade'!V168</f>
        <v>17700600</v>
      </c>
      <c r="Y70" s="673">
        <f>'Datu ievade'!W168</f>
        <v>17700600</v>
      </c>
      <c r="Z70" s="673">
        <f>'Datu ievade'!X168</f>
        <v>17700600</v>
      </c>
      <c r="AA70" s="673">
        <f>'Datu ievade'!Y168</f>
        <v>17700600</v>
      </c>
      <c r="AB70" s="673">
        <f>'Datu ievade'!Z168</f>
        <v>17700600</v>
      </c>
      <c r="AC70" s="673">
        <f t="shared" ref="AC70:AI70" si="37">AB70</f>
        <v>17700600</v>
      </c>
      <c r="AD70" s="673">
        <f t="shared" si="37"/>
        <v>17700600</v>
      </c>
      <c r="AE70" s="673">
        <f t="shared" si="37"/>
        <v>17700600</v>
      </c>
      <c r="AF70" s="673">
        <f t="shared" si="37"/>
        <v>17700600</v>
      </c>
      <c r="AG70" s="673">
        <f t="shared" si="37"/>
        <v>17700600</v>
      </c>
      <c r="AH70" s="673">
        <f t="shared" si="37"/>
        <v>17700600</v>
      </c>
      <c r="AI70" s="673">
        <f t="shared" si="37"/>
        <v>17700600</v>
      </c>
      <c r="AJ70" s="673">
        <f>AI70</f>
        <v>17700600</v>
      </c>
      <c r="AK70" s="673">
        <f>AJ70</f>
        <v>17700600</v>
      </c>
    </row>
    <row r="71" spans="2:38" ht="22.5" x14ac:dyDescent="0.2">
      <c r="B71" s="33" t="s">
        <v>478</v>
      </c>
      <c r="C71" s="673"/>
      <c r="D71" s="673">
        <f>'Datu ievade'!B184</f>
        <v>100000</v>
      </c>
      <c r="E71" s="673">
        <f>'Datu ievade'!C184</f>
        <v>100000</v>
      </c>
      <c r="F71" s="673">
        <f>'Datu ievade'!D184</f>
        <v>100000</v>
      </c>
      <c r="G71" s="673">
        <f>'Datu ievade'!E184</f>
        <v>100000</v>
      </c>
      <c r="H71" s="673">
        <f>'Datu ievade'!F184</f>
        <v>100000</v>
      </c>
      <c r="I71" s="673">
        <f>'Datu ievade'!G184</f>
        <v>100000</v>
      </c>
      <c r="J71" s="673">
        <f>'Datu ievade'!H184</f>
        <v>100000</v>
      </c>
      <c r="K71" s="673">
        <f>'Datu ievade'!I184</f>
        <v>100000</v>
      </c>
      <c r="L71" s="673">
        <f>'Datu ievade'!J184</f>
        <v>100000</v>
      </c>
      <c r="M71" s="673">
        <f>'Datu ievade'!K184</f>
        <v>15000</v>
      </c>
      <c r="N71" s="673">
        <f>'Datu ievade'!L184</f>
        <v>15000</v>
      </c>
      <c r="O71" s="673">
        <f>'Datu ievade'!M184</f>
        <v>15000</v>
      </c>
      <c r="P71" s="673">
        <f>'Datu ievade'!N184</f>
        <v>15000</v>
      </c>
      <c r="Q71" s="673">
        <f>'Datu ievade'!O184</f>
        <v>15000</v>
      </c>
      <c r="R71" s="673">
        <f>'Datu ievade'!P184</f>
        <v>15000</v>
      </c>
      <c r="S71" s="673">
        <f>'Datu ievade'!Q184</f>
        <v>15000</v>
      </c>
      <c r="T71" s="673">
        <f>'Datu ievade'!R184</f>
        <v>15000</v>
      </c>
      <c r="U71" s="673">
        <f>'Datu ievade'!S184</f>
        <v>15000</v>
      </c>
      <c r="V71" s="673">
        <f>'Datu ievade'!T184</f>
        <v>15000</v>
      </c>
      <c r="W71" s="673">
        <f>'Datu ievade'!U184</f>
        <v>15000</v>
      </c>
      <c r="X71" s="673">
        <f>'Datu ievade'!V184</f>
        <v>15000</v>
      </c>
      <c r="Y71" s="673">
        <f>'Datu ievade'!W184</f>
        <v>15000</v>
      </c>
      <c r="Z71" s="673">
        <f>'Datu ievade'!X184</f>
        <v>15000</v>
      </c>
      <c r="AA71" s="673">
        <f>'Datu ievade'!Y184</f>
        <v>15000</v>
      </c>
      <c r="AB71" s="673">
        <f>'Datu ievade'!Z184</f>
        <v>15000</v>
      </c>
      <c r="AC71" s="673">
        <f>'Datu ievade'!AA184</f>
        <v>15000</v>
      </c>
      <c r="AD71" s="673">
        <f>'Datu ievade'!AB184</f>
        <v>15000</v>
      </c>
      <c r="AE71" s="673">
        <f>'Datu ievade'!AC184</f>
        <v>15000</v>
      </c>
      <c r="AF71" s="673">
        <f>'Datu ievade'!AD184</f>
        <v>15000</v>
      </c>
      <c r="AG71" s="673">
        <f>'Datu ievade'!AE184</f>
        <v>15000</v>
      </c>
      <c r="AH71" s="673">
        <f>'Datu ievade'!AF184</f>
        <v>15000</v>
      </c>
      <c r="AI71" s="673">
        <f>'Datu ievade'!AG184</f>
        <v>15000</v>
      </c>
      <c r="AJ71" s="673">
        <f>'Datu ievade'!AH184</f>
        <v>15000</v>
      </c>
      <c r="AK71" s="673">
        <f>'Datu ievade'!AI184</f>
        <v>15000</v>
      </c>
    </row>
    <row r="72" spans="2:38" x14ac:dyDescent="0.2">
      <c r="AL72" s="598"/>
    </row>
    <row r="73" spans="2:38" ht="12.75" x14ac:dyDescent="0.2">
      <c r="B73" s="596" t="s">
        <v>47</v>
      </c>
      <c r="AL73" s="598"/>
    </row>
    <row r="74" spans="2:38" x14ac:dyDescent="0.2">
      <c r="B74" s="597" t="s">
        <v>266</v>
      </c>
      <c r="C74" s="598">
        <f>'Kopējie pieņēmumi'!E7</f>
        <v>2.8000000000000001E-2</v>
      </c>
      <c r="D74" s="598">
        <f>'Kopējie pieņēmumi'!F7</f>
        <v>2.5000000000000001E-2</v>
      </c>
      <c r="E74" s="598">
        <f>'Kopējie pieņēmumi'!G7</f>
        <v>2.1000000000000001E-2</v>
      </c>
      <c r="F74" s="598">
        <f>'Kopējie pieņēmumi'!H7</f>
        <v>0.02</v>
      </c>
      <c r="G74" s="598">
        <f>'Kopējie pieņēmumi'!I7</f>
        <v>0.02</v>
      </c>
      <c r="H74" s="598">
        <f>'Kopējie pieņēmumi'!J7</f>
        <v>0.02</v>
      </c>
      <c r="I74" s="598">
        <f>'Kopējie pieņēmumi'!K7</f>
        <v>0.02</v>
      </c>
      <c r="J74" s="598">
        <f>'Kopējie pieņēmumi'!L7</f>
        <v>0.02</v>
      </c>
      <c r="K74" s="598">
        <f>'Kopējie pieņēmumi'!M7</f>
        <v>0.02</v>
      </c>
      <c r="L74" s="598">
        <f>'Kopējie pieņēmumi'!N7</f>
        <v>0.02</v>
      </c>
      <c r="M74" s="598">
        <f>'Kopējie pieņēmumi'!O7</f>
        <v>0.02</v>
      </c>
      <c r="N74" s="598">
        <f>'Kopējie pieņēmumi'!P7</f>
        <v>0.02</v>
      </c>
      <c r="O74" s="598">
        <f>'Kopējie pieņēmumi'!Q7</f>
        <v>0.02</v>
      </c>
      <c r="P74" s="598">
        <f>'Kopējie pieņēmumi'!R7</f>
        <v>0.02</v>
      </c>
      <c r="Q74" s="598">
        <f>'Kopējie pieņēmumi'!S7</f>
        <v>0.02</v>
      </c>
      <c r="R74" s="598">
        <f>'Kopējie pieņēmumi'!T7</f>
        <v>0.02</v>
      </c>
      <c r="S74" s="598">
        <f>'Kopējie pieņēmumi'!U7</f>
        <v>0.02</v>
      </c>
      <c r="T74" s="598">
        <f>'Kopējie pieņēmumi'!V7</f>
        <v>0.02</v>
      </c>
      <c r="U74" s="598">
        <f>'Kopējie pieņēmumi'!W7</f>
        <v>0.02</v>
      </c>
      <c r="V74" s="598">
        <f>'Kopējie pieņēmumi'!X7</f>
        <v>0.02</v>
      </c>
      <c r="W74" s="598">
        <f>'Kopējie pieņēmumi'!Y7</f>
        <v>0.02</v>
      </c>
      <c r="X74" s="598">
        <f>'Kopējie pieņēmumi'!Z7</f>
        <v>0.02</v>
      </c>
      <c r="Y74" s="598">
        <f>'Kopējie pieņēmumi'!AA7</f>
        <v>0.02</v>
      </c>
      <c r="Z74" s="598">
        <f>'Kopējie pieņēmumi'!AB7</f>
        <v>0.02</v>
      </c>
      <c r="AA74" s="598">
        <f>'Kopējie pieņēmumi'!AC7</f>
        <v>0.02</v>
      </c>
      <c r="AB74" s="598">
        <f>'Kopējie pieņēmumi'!AD7</f>
        <v>0.02</v>
      </c>
      <c r="AC74" s="598">
        <f>'Kopējie pieņēmumi'!AE7</f>
        <v>0.02</v>
      </c>
      <c r="AD74" s="598">
        <f>'Kopējie pieņēmumi'!AF7</f>
        <v>0.02</v>
      </c>
      <c r="AE74" s="598">
        <f>'Kopējie pieņēmumi'!AG7</f>
        <v>0.02</v>
      </c>
      <c r="AF74" s="598">
        <f>'Kopējie pieņēmumi'!AH7</f>
        <v>0.02</v>
      </c>
      <c r="AG74" s="598">
        <f>'Kopējie pieņēmumi'!AI7</f>
        <v>0.02</v>
      </c>
      <c r="AH74" s="598">
        <f>'Kopējie pieņēmumi'!AJ7</f>
        <v>0.02</v>
      </c>
      <c r="AI74" s="598">
        <f>'Kopējie pieņēmumi'!AK7</f>
        <v>0.02</v>
      </c>
      <c r="AJ74" s="598">
        <f>'Kopējie pieņēmumi'!AL7</f>
        <v>0.02</v>
      </c>
      <c r="AK74" s="598">
        <f>'Kopējie pieņēmumi'!AM7</f>
        <v>0</v>
      </c>
      <c r="AL74" s="598"/>
    </row>
    <row r="75" spans="2:38" x14ac:dyDescent="0.2">
      <c r="B75" s="597" t="s">
        <v>48</v>
      </c>
      <c r="C75" s="787">
        <f>'Kopējie pieņēmumi'!E8</f>
        <v>1</v>
      </c>
      <c r="D75" s="787">
        <f>'Kopējie pieņēmumi'!F8</f>
        <v>1.03</v>
      </c>
      <c r="E75" s="787">
        <f>'Kopējie pieņēmumi'!G8</f>
        <v>1.05</v>
      </c>
      <c r="F75" s="787">
        <f>'Kopējie pieņēmumi'!H8</f>
        <v>1.07</v>
      </c>
      <c r="G75" s="787">
        <f>'Kopējie pieņēmumi'!I8</f>
        <v>1.0900000000000001</v>
      </c>
      <c r="H75" s="787">
        <f>'Kopējie pieņēmumi'!J8</f>
        <v>1.1100000000000001</v>
      </c>
      <c r="I75" s="787">
        <f>'Kopējie pieņēmumi'!K8</f>
        <v>1.1299999999999999</v>
      </c>
      <c r="J75" s="787">
        <f>'Kopējie pieņēmumi'!L8</f>
        <v>1.1499999999999999</v>
      </c>
      <c r="K75" s="787">
        <f>'Kopējie pieņēmumi'!M8</f>
        <v>1.17</v>
      </c>
      <c r="L75" s="787">
        <f>'Kopējie pieņēmumi'!N8</f>
        <v>1.19</v>
      </c>
      <c r="M75" s="787">
        <f>'Kopējie pieņēmumi'!O8</f>
        <v>1.21</v>
      </c>
      <c r="N75" s="787">
        <f>'Kopējie pieņēmumi'!P8</f>
        <v>1.23</v>
      </c>
      <c r="O75" s="787">
        <f>'Kopējie pieņēmumi'!Q8</f>
        <v>1.25</v>
      </c>
      <c r="P75" s="787">
        <f>'Kopējie pieņēmumi'!R8</f>
        <v>1.28</v>
      </c>
      <c r="Q75" s="787">
        <f>'Kopējie pieņēmumi'!S8</f>
        <v>1.31</v>
      </c>
      <c r="R75" s="787">
        <f>'Kopējie pieņēmumi'!T8</f>
        <v>1.34</v>
      </c>
      <c r="S75" s="787">
        <f>'Kopējie pieņēmumi'!U8</f>
        <v>1.37</v>
      </c>
      <c r="T75" s="787">
        <f>'Kopējie pieņēmumi'!V8</f>
        <v>1.4</v>
      </c>
      <c r="U75" s="787">
        <f>'Kopējie pieņēmumi'!W8</f>
        <v>1.43</v>
      </c>
      <c r="V75" s="787">
        <f>'Kopējie pieņēmumi'!X8</f>
        <v>1.46</v>
      </c>
      <c r="W75" s="787">
        <f>'Kopējie pieņēmumi'!Y8</f>
        <v>1.49</v>
      </c>
      <c r="X75" s="787">
        <f>'Kopējie pieņēmumi'!Z8</f>
        <v>1.52</v>
      </c>
      <c r="Y75" s="787">
        <f>'Kopējie pieņēmumi'!AA8</f>
        <v>1.55</v>
      </c>
      <c r="Z75" s="787">
        <f>'Kopējie pieņēmumi'!AB8</f>
        <v>1.58</v>
      </c>
      <c r="AA75" s="787">
        <f>'Kopējie pieņēmumi'!AC8</f>
        <v>1.61</v>
      </c>
      <c r="AB75" s="787">
        <f>'Kopējie pieņēmumi'!AD8</f>
        <v>1.64</v>
      </c>
      <c r="AC75" s="787">
        <f>'Kopējie pieņēmumi'!AE8</f>
        <v>1.67</v>
      </c>
      <c r="AD75" s="787">
        <f>'Kopējie pieņēmumi'!AF8</f>
        <v>1.7</v>
      </c>
      <c r="AE75" s="787">
        <f>'Kopējie pieņēmumi'!AG8</f>
        <v>1.73</v>
      </c>
      <c r="AF75" s="787">
        <f>'Kopējie pieņēmumi'!AH8</f>
        <v>1.76</v>
      </c>
      <c r="AG75" s="787">
        <f>'Kopējie pieņēmumi'!AI8</f>
        <v>1.8</v>
      </c>
      <c r="AH75" s="787">
        <f>'Kopējie pieņēmumi'!AJ8</f>
        <v>1.84</v>
      </c>
      <c r="AI75" s="787">
        <f>'Kopējie pieņēmumi'!AK8</f>
        <v>1.88</v>
      </c>
      <c r="AJ75" s="787">
        <f>'Kopējie pieņēmumi'!AL8</f>
        <v>1.92</v>
      </c>
      <c r="AK75" s="787">
        <f>'Kopējie pieņēmumi'!AM8</f>
        <v>0</v>
      </c>
      <c r="AL75" s="598"/>
    </row>
    <row r="76" spans="2:38" ht="22.5" x14ac:dyDescent="0.2">
      <c r="B76" s="599" t="s">
        <v>267</v>
      </c>
      <c r="C76" s="598">
        <f>'Kopējie pieņēmumi'!E9</f>
        <v>4.5999999999999999E-2</v>
      </c>
      <c r="D76" s="598">
        <f>'Kopējie pieņēmumi'!F9</f>
        <v>3.4000000000000002E-2</v>
      </c>
      <c r="E76" s="598">
        <f>'Kopējie pieņēmumi'!G9</f>
        <v>2.8000000000000001E-2</v>
      </c>
      <c r="F76" s="598">
        <f>'Kopējie pieņēmumi'!H9</f>
        <v>2.9000000000000001E-2</v>
      </c>
      <c r="G76" s="598">
        <f>'Kopējie pieņēmumi'!I9</f>
        <v>2.1000000000000001E-2</v>
      </c>
      <c r="H76" s="598">
        <f>'Kopējie pieņēmumi'!J9</f>
        <v>2.1000000000000001E-2</v>
      </c>
      <c r="I76" s="598">
        <f>'Kopējie pieņēmumi'!K9</f>
        <v>2.1000000000000001E-2</v>
      </c>
      <c r="J76" s="598">
        <f>'Kopējie pieņēmumi'!L9</f>
        <v>2.1000000000000001E-2</v>
      </c>
      <c r="K76" s="598">
        <f>'Kopējie pieņēmumi'!M9</f>
        <v>2.1000000000000001E-2</v>
      </c>
      <c r="L76" s="598">
        <f>'Kopējie pieņēmumi'!N9</f>
        <v>2.1000000000000001E-2</v>
      </c>
      <c r="M76" s="598">
        <f>'Kopējie pieņēmumi'!O9</f>
        <v>2.1000000000000001E-2</v>
      </c>
      <c r="N76" s="598">
        <f>'Kopējie pieņēmumi'!P9</f>
        <v>2.1000000000000001E-2</v>
      </c>
      <c r="O76" s="598">
        <f>'Kopējie pieņēmumi'!Q9</f>
        <v>2.1000000000000001E-2</v>
      </c>
      <c r="P76" s="598">
        <f>'Kopējie pieņēmumi'!R9</f>
        <v>2.1000000000000001E-2</v>
      </c>
      <c r="Q76" s="598">
        <f>'Kopējie pieņēmumi'!S9</f>
        <v>2.1000000000000001E-2</v>
      </c>
      <c r="R76" s="598">
        <f>'Kopējie pieņēmumi'!T9</f>
        <v>2.1000000000000001E-2</v>
      </c>
      <c r="S76" s="598">
        <f>'Kopējie pieņēmumi'!U9</f>
        <v>2.1000000000000001E-2</v>
      </c>
      <c r="T76" s="598">
        <f>'Kopējie pieņēmumi'!V9</f>
        <v>2.1000000000000001E-2</v>
      </c>
      <c r="U76" s="598">
        <f>'Kopējie pieņēmumi'!W9</f>
        <v>2.1000000000000001E-2</v>
      </c>
      <c r="V76" s="598">
        <f>'Kopējie pieņēmumi'!X9</f>
        <v>2.1000000000000001E-2</v>
      </c>
      <c r="W76" s="598">
        <f>'Kopējie pieņēmumi'!Y9</f>
        <v>2.1000000000000001E-2</v>
      </c>
      <c r="X76" s="598">
        <f>'Kopējie pieņēmumi'!Z9</f>
        <v>2.1000000000000001E-2</v>
      </c>
      <c r="Y76" s="598">
        <f>'Kopējie pieņēmumi'!AA9</f>
        <v>2.1000000000000001E-2</v>
      </c>
      <c r="Z76" s="598">
        <f>'Kopējie pieņēmumi'!AB9</f>
        <v>2.1000000000000001E-2</v>
      </c>
      <c r="AA76" s="598">
        <f>'Kopējie pieņēmumi'!AC9</f>
        <v>2.1000000000000001E-2</v>
      </c>
      <c r="AB76" s="598">
        <f>'Kopējie pieņēmumi'!AD9</f>
        <v>2.1000000000000001E-2</v>
      </c>
      <c r="AC76" s="598">
        <f>'Kopējie pieņēmumi'!AE9</f>
        <v>2.1000000000000001E-2</v>
      </c>
      <c r="AD76" s="598">
        <f>'Kopējie pieņēmumi'!AF9</f>
        <v>2.1000000000000001E-2</v>
      </c>
      <c r="AE76" s="598">
        <f>'Kopējie pieņēmumi'!AG9</f>
        <v>2.1000000000000001E-2</v>
      </c>
      <c r="AF76" s="598">
        <f>'Kopējie pieņēmumi'!AH9</f>
        <v>2.1000000000000001E-2</v>
      </c>
      <c r="AG76" s="598">
        <f>'Kopējie pieņēmumi'!AI9</f>
        <v>2.1000000000000001E-2</v>
      </c>
      <c r="AH76" s="598">
        <f>'Kopējie pieņēmumi'!AJ9</f>
        <v>2.1000000000000001E-2</v>
      </c>
      <c r="AI76" s="598">
        <f>'Kopējie pieņēmumi'!AK9</f>
        <v>2.1000000000000001E-2</v>
      </c>
      <c r="AJ76" s="598">
        <f>'Kopējie pieņēmumi'!AL9</f>
        <v>2.1000000000000001E-2</v>
      </c>
      <c r="AK76" s="598">
        <f>'Kopējie pieņēmumi'!AM9</f>
        <v>0</v>
      </c>
      <c r="AL76" s="598"/>
    </row>
    <row r="77" spans="2:38" x14ac:dyDescent="0.2">
      <c r="B77" s="597" t="s">
        <v>48</v>
      </c>
      <c r="C77" s="787">
        <f>'Kopējie pieņēmumi'!E10</f>
        <v>1</v>
      </c>
      <c r="D77" s="787">
        <f>'Kopējie pieņēmumi'!F10</f>
        <v>1.03</v>
      </c>
      <c r="E77" s="787">
        <f>'Kopējie pieņēmumi'!G10</f>
        <v>1.06</v>
      </c>
      <c r="F77" s="787">
        <f>'Kopējie pieņēmumi'!H10</f>
        <v>1.0900000000000001</v>
      </c>
      <c r="G77" s="787">
        <f>'Kopējie pieņēmumi'!I10</f>
        <v>1.1100000000000001</v>
      </c>
      <c r="H77" s="787">
        <f>'Kopējie pieņēmumi'!J10</f>
        <v>1.1299999999999999</v>
      </c>
      <c r="I77" s="787">
        <f>'Kopējie pieņēmumi'!K10</f>
        <v>1.1499999999999999</v>
      </c>
      <c r="J77" s="787">
        <f>'Kopējie pieņēmumi'!L10</f>
        <v>1.17</v>
      </c>
      <c r="K77" s="787">
        <f>'Kopējie pieņēmumi'!M10</f>
        <v>1.19</v>
      </c>
      <c r="L77" s="787">
        <f>'Kopējie pieņēmumi'!N10</f>
        <v>1.21</v>
      </c>
      <c r="M77" s="787">
        <f>'Kopējie pieņēmumi'!O10</f>
        <v>1.24</v>
      </c>
      <c r="N77" s="787">
        <f>'Kopējie pieņēmumi'!P10</f>
        <v>1.27</v>
      </c>
      <c r="O77" s="787">
        <f>'Kopējie pieņēmumi'!Q10</f>
        <v>1.3</v>
      </c>
      <c r="P77" s="787">
        <f>'Kopējie pieņēmumi'!R10</f>
        <v>1.33</v>
      </c>
      <c r="Q77" s="787">
        <f>'Kopējie pieņēmumi'!S10</f>
        <v>1.36</v>
      </c>
      <c r="R77" s="787">
        <f>'Kopējie pieņēmumi'!T10</f>
        <v>1.39</v>
      </c>
      <c r="S77" s="787">
        <f>'Kopējie pieņēmumi'!U10</f>
        <v>1.42</v>
      </c>
      <c r="T77" s="787">
        <f>'Kopējie pieņēmumi'!V10</f>
        <v>1.45</v>
      </c>
      <c r="U77" s="787">
        <f>'Kopējie pieņēmumi'!W10</f>
        <v>1.48</v>
      </c>
      <c r="V77" s="787">
        <f>'Kopējie pieņēmumi'!X10</f>
        <v>1.51</v>
      </c>
      <c r="W77" s="787">
        <f>'Kopējie pieņēmumi'!Y10</f>
        <v>1.54</v>
      </c>
      <c r="X77" s="787">
        <f>'Kopējie pieņēmumi'!Z10</f>
        <v>1.57</v>
      </c>
      <c r="Y77" s="787">
        <f>'Kopējie pieņēmumi'!AA10</f>
        <v>1.6</v>
      </c>
      <c r="Z77" s="787">
        <f>'Kopējie pieņēmumi'!AB10</f>
        <v>1.63</v>
      </c>
      <c r="AA77" s="787">
        <f>'Kopējie pieņēmumi'!AC10</f>
        <v>1.66</v>
      </c>
      <c r="AB77" s="787">
        <f>'Kopējie pieņēmumi'!AD10</f>
        <v>1.69</v>
      </c>
      <c r="AC77" s="787">
        <f>'Kopējie pieņēmumi'!AE10</f>
        <v>1.73</v>
      </c>
      <c r="AD77" s="787">
        <f>'Kopējie pieņēmumi'!AF10</f>
        <v>1.77</v>
      </c>
      <c r="AE77" s="787">
        <f>'Kopējie pieņēmumi'!AG10</f>
        <v>1.81</v>
      </c>
      <c r="AF77" s="787">
        <f>'Kopējie pieņēmumi'!AH10</f>
        <v>1.85</v>
      </c>
      <c r="AG77" s="787">
        <f>'Kopējie pieņēmumi'!AI10</f>
        <v>1.89</v>
      </c>
      <c r="AH77" s="787">
        <f>'Kopējie pieņēmumi'!AJ10</f>
        <v>1.93</v>
      </c>
      <c r="AI77" s="787">
        <f>'Kopējie pieņēmumi'!AK10</f>
        <v>1.97</v>
      </c>
      <c r="AJ77" s="787">
        <f>'Kopējie pieņēmumi'!AL10</f>
        <v>2.0099999999999998</v>
      </c>
      <c r="AK77" s="787">
        <f>'Kopējie pieņēmumi'!AM10</f>
        <v>0</v>
      </c>
      <c r="AL77" s="598"/>
    </row>
    <row r="78" spans="2:38" x14ac:dyDescent="0.2">
      <c r="B78" s="599" t="s">
        <v>49</v>
      </c>
      <c r="C78" s="598">
        <f>'Kopējie pieņēmumi'!E11</f>
        <v>2.4E-2</v>
      </c>
      <c r="D78" s="598">
        <f>'Kopējie pieņēmumi'!F11</f>
        <v>2.1999999999999999E-2</v>
      </c>
      <c r="E78" s="598">
        <f>'Kopējie pieņēmumi'!G11</f>
        <v>1.9E-2</v>
      </c>
      <c r="F78" s="598">
        <f>'Kopējie pieņēmumi'!H11</f>
        <v>1.9E-2</v>
      </c>
      <c r="G78" s="598">
        <f>'Kopējie pieņēmumi'!I11</f>
        <v>0.02</v>
      </c>
      <c r="H78" s="598">
        <f>'Kopējie pieņēmumi'!J11</f>
        <v>0.02</v>
      </c>
      <c r="I78" s="598">
        <f>'Kopējie pieņēmumi'!K11</f>
        <v>0.02</v>
      </c>
      <c r="J78" s="598">
        <f>'Kopējie pieņēmumi'!L11</f>
        <v>0.02</v>
      </c>
      <c r="K78" s="598">
        <f>'Kopējie pieņēmumi'!M11</f>
        <v>0.02</v>
      </c>
      <c r="L78" s="598">
        <f>'Kopējie pieņēmumi'!N11</f>
        <v>0.02</v>
      </c>
      <c r="M78" s="598">
        <f>'Kopējie pieņēmumi'!O11</f>
        <v>0.02</v>
      </c>
      <c r="N78" s="598">
        <f>'Kopējie pieņēmumi'!P11</f>
        <v>0.02</v>
      </c>
      <c r="O78" s="598">
        <f>'Kopējie pieņēmumi'!Q11</f>
        <v>0.02</v>
      </c>
      <c r="P78" s="598">
        <f>'Kopējie pieņēmumi'!R11</f>
        <v>0.02</v>
      </c>
      <c r="Q78" s="598">
        <f>'Kopējie pieņēmumi'!S11</f>
        <v>0.02</v>
      </c>
      <c r="R78" s="598">
        <f>'Kopējie pieņēmumi'!T11</f>
        <v>0.02</v>
      </c>
      <c r="S78" s="598">
        <f>'Kopējie pieņēmumi'!U11</f>
        <v>0.02</v>
      </c>
      <c r="T78" s="598">
        <f>'Kopējie pieņēmumi'!V11</f>
        <v>0.02</v>
      </c>
      <c r="U78" s="598">
        <f>'Kopējie pieņēmumi'!W11</f>
        <v>0.02</v>
      </c>
      <c r="V78" s="598">
        <f>'Kopējie pieņēmumi'!X11</f>
        <v>0.02</v>
      </c>
      <c r="W78" s="598">
        <f>'Kopējie pieņēmumi'!Y11</f>
        <v>0.02</v>
      </c>
      <c r="X78" s="598">
        <f>'Kopējie pieņēmumi'!Z11</f>
        <v>0.02</v>
      </c>
      <c r="Y78" s="598">
        <f>'Kopējie pieņēmumi'!AA11</f>
        <v>0.02</v>
      </c>
      <c r="Z78" s="598">
        <f>'Kopējie pieņēmumi'!AB11</f>
        <v>0.02</v>
      </c>
      <c r="AA78" s="598">
        <f>'Kopējie pieņēmumi'!AC11</f>
        <v>0.02</v>
      </c>
      <c r="AB78" s="598">
        <f>'Kopējie pieņēmumi'!AD11</f>
        <v>0.02</v>
      </c>
      <c r="AC78" s="598">
        <f>'Kopējie pieņēmumi'!AE11</f>
        <v>0.02</v>
      </c>
      <c r="AD78" s="598">
        <f>'Kopējie pieņēmumi'!AF11</f>
        <v>0.02</v>
      </c>
      <c r="AE78" s="598">
        <f>'Kopējie pieņēmumi'!AG11</f>
        <v>0.02</v>
      </c>
      <c r="AF78" s="598">
        <f>'Kopējie pieņēmumi'!AH11</f>
        <v>0.02</v>
      </c>
      <c r="AG78" s="598">
        <f>'Kopējie pieņēmumi'!AI11</f>
        <v>0.02</v>
      </c>
      <c r="AH78" s="598">
        <f>'Kopējie pieņēmumi'!AJ11</f>
        <v>0.02</v>
      </c>
      <c r="AI78" s="598">
        <f>'Kopējie pieņēmumi'!AK11</f>
        <v>0.02</v>
      </c>
      <c r="AJ78" s="598">
        <f>'Kopējie pieņēmumi'!AL11</f>
        <v>0.02</v>
      </c>
      <c r="AK78" s="598">
        <f>'Kopējie pieņēmumi'!AM11</f>
        <v>0</v>
      </c>
    </row>
    <row r="79" spans="2:38" x14ac:dyDescent="0.2">
      <c r="B79" s="597" t="s">
        <v>48</v>
      </c>
      <c r="C79" s="787">
        <f>'Kopējie pieņēmumi'!E12</f>
        <v>1</v>
      </c>
      <c r="D79" s="787">
        <f>'Kopējie pieņēmumi'!F12</f>
        <v>1.02</v>
      </c>
      <c r="E79" s="787">
        <f>'Kopējie pieņēmumi'!G12</f>
        <v>1.04</v>
      </c>
      <c r="F79" s="787">
        <f>'Kopējie pieņēmumi'!H12</f>
        <v>1.06</v>
      </c>
      <c r="G79" s="787">
        <f>'Kopējie pieņēmumi'!I12</f>
        <v>1.08</v>
      </c>
      <c r="H79" s="787">
        <f>'Kopējie pieņēmumi'!J12</f>
        <v>1.1000000000000001</v>
      </c>
      <c r="I79" s="787">
        <f>'Kopējie pieņēmumi'!K12</f>
        <v>1.1200000000000001</v>
      </c>
      <c r="J79" s="787">
        <f>'Kopējie pieņēmumi'!L12</f>
        <v>1.1399999999999999</v>
      </c>
      <c r="K79" s="787">
        <f>'Kopējie pieņēmumi'!M12</f>
        <v>1.1599999999999999</v>
      </c>
      <c r="L79" s="787">
        <f>'Kopējie pieņēmumi'!N12</f>
        <v>1.18</v>
      </c>
      <c r="M79" s="787">
        <f>'Kopējie pieņēmumi'!O12</f>
        <v>1.2</v>
      </c>
      <c r="N79" s="787">
        <f>'Kopējie pieņēmumi'!P12</f>
        <v>1.22</v>
      </c>
      <c r="O79" s="787">
        <f>'Kopējie pieņēmumi'!Q12</f>
        <v>1.24</v>
      </c>
      <c r="P79" s="787">
        <f>'Kopējie pieņēmumi'!R12</f>
        <v>1.26</v>
      </c>
      <c r="Q79" s="787">
        <f>'Kopējie pieņēmumi'!S12</f>
        <v>1.29</v>
      </c>
      <c r="R79" s="787">
        <f>'Kopējie pieņēmumi'!T12</f>
        <v>1.32</v>
      </c>
      <c r="S79" s="787">
        <f>'Kopējie pieņēmumi'!U12</f>
        <v>1.35</v>
      </c>
      <c r="T79" s="787">
        <f>'Kopējie pieņēmumi'!V12</f>
        <v>1.38</v>
      </c>
      <c r="U79" s="787">
        <f>'Kopējie pieņēmumi'!W12</f>
        <v>1.41</v>
      </c>
      <c r="V79" s="787">
        <f>'Kopējie pieņēmumi'!X12</f>
        <v>1.44</v>
      </c>
      <c r="W79" s="787">
        <f>'Kopējie pieņēmumi'!Y12</f>
        <v>1.47</v>
      </c>
      <c r="X79" s="787">
        <f>'Kopējie pieņēmumi'!Z12</f>
        <v>1.5</v>
      </c>
      <c r="Y79" s="787">
        <f>'Kopējie pieņēmumi'!AA12</f>
        <v>1.53</v>
      </c>
      <c r="Z79" s="787">
        <f>'Kopējie pieņēmumi'!AB12</f>
        <v>1.56</v>
      </c>
      <c r="AA79" s="787">
        <f>'Kopējie pieņēmumi'!AC12</f>
        <v>1.59</v>
      </c>
      <c r="AB79" s="787">
        <f>'Kopējie pieņēmumi'!AD12</f>
        <v>1.62</v>
      </c>
      <c r="AC79" s="787">
        <f>'Kopējie pieņēmumi'!AE12</f>
        <v>1.65</v>
      </c>
      <c r="AD79" s="787">
        <f>'Kopējie pieņēmumi'!AF12</f>
        <v>1.68</v>
      </c>
      <c r="AE79" s="787">
        <f>'Kopējie pieņēmumi'!AG12</f>
        <v>1.71</v>
      </c>
      <c r="AF79" s="787">
        <f>'Kopējie pieņēmumi'!AH12</f>
        <v>1.74</v>
      </c>
      <c r="AG79" s="787">
        <f>'Kopējie pieņēmumi'!AI12</f>
        <v>1.77</v>
      </c>
      <c r="AH79" s="787">
        <f>'Kopējie pieņēmumi'!AJ12</f>
        <v>1.81</v>
      </c>
      <c r="AI79" s="787">
        <f>'Kopējie pieņēmumi'!AK12</f>
        <v>1.85</v>
      </c>
      <c r="AJ79" s="787">
        <f>'Kopējie pieņēmumi'!AL12</f>
        <v>1.89</v>
      </c>
      <c r="AK79" s="787">
        <f>'Kopējie pieņēmumi'!AM12</f>
        <v>0</v>
      </c>
    </row>
    <row r="81" spans="2:37" ht="22.5" x14ac:dyDescent="0.2">
      <c r="B81" s="33" t="s">
        <v>484</v>
      </c>
      <c r="C81" s="305">
        <v>0</v>
      </c>
      <c r="D81" s="305">
        <f>'Datu ievade'!B160</f>
        <v>50000</v>
      </c>
      <c r="E81" s="305">
        <f>'Datu ievade'!C160</f>
        <v>0</v>
      </c>
      <c r="F81" s="591">
        <f>'Datu ievade'!D160</f>
        <v>0</v>
      </c>
      <c r="G81" s="305">
        <f>'Datu ievade'!E160</f>
        <v>0</v>
      </c>
      <c r="H81" s="305">
        <f>'Datu ievade'!F160</f>
        <v>0</v>
      </c>
      <c r="I81" s="305">
        <f>'Datu ievade'!G160</f>
        <v>0</v>
      </c>
      <c r="J81" s="305">
        <f>'Datu ievade'!H160</f>
        <v>0</v>
      </c>
      <c r="K81" s="305">
        <f>'Datu ievade'!I160</f>
        <v>0</v>
      </c>
      <c r="L81" s="305">
        <f>'Datu ievade'!J160</f>
        <v>0</v>
      </c>
      <c r="M81" s="305">
        <f>'Datu ievade'!K160</f>
        <v>0</v>
      </c>
      <c r="N81" s="305">
        <f>'Datu ievade'!L160</f>
        <v>0</v>
      </c>
      <c r="O81" s="305">
        <f>'Datu ievade'!M160</f>
        <v>0</v>
      </c>
      <c r="P81" s="305">
        <f>'Datu ievade'!N160</f>
        <v>0</v>
      </c>
      <c r="Q81" s="305">
        <f>'Datu ievade'!O160</f>
        <v>0</v>
      </c>
      <c r="R81" s="305">
        <f>'Datu ievade'!P160</f>
        <v>0</v>
      </c>
      <c r="S81" s="305">
        <f>'Datu ievade'!Q160</f>
        <v>0</v>
      </c>
      <c r="T81" s="305">
        <f>'Datu ievade'!R160</f>
        <v>0</v>
      </c>
      <c r="U81" s="305">
        <f>'Datu ievade'!S160</f>
        <v>0</v>
      </c>
      <c r="V81" s="305">
        <f>'Datu ievade'!T160</f>
        <v>0</v>
      </c>
      <c r="W81" s="305">
        <f>'Datu ievade'!U160</f>
        <v>0</v>
      </c>
      <c r="X81" s="305">
        <f>'Datu ievade'!V160</f>
        <v>0</v>
      </c>
      <c r="Y81" s="305">
        <f>'Datu ievade'!W160</f>
        <v>0</v>
      </c>
      <c r="Z81" s="305">
        <f>'Datu ievade'!X160</f>
        <v>0</v>
      </c>
      <c r="AA81" s="305">
        <f>'Datu ievade'!Y160</f>
        <v>0</v>
      </c>
      <c r="AB81" s="305">
        <f>'Datu ievade'!Z160</f>
        <v>0</v>
      </c>
      <c r="AC81" s="305">
        <f>'Datu ievade'!AA160</f>
        <v>0</v>
      </c>
      <c r="AD81" s="305">
        <f>'Datu ievade'!AB160</f>
        <v>0</v>
      </c>
      <c r="AE81" s="305">
        <f>'Datu ievade'!AC160</f>
        <v>0</v>
      </c>
      <c r="AF81" s="305">
        <f>'Datu ievade'!AD160</f>
        <v>0</v>
      </c>
      <c r="AG81" s="305">
        <f>'Datu ievade'!AE160</f>
        <v>0</v>
      </c>
      <c r="AH81" s="305">
        <f>'Datu ievade'!AF160</f>
        <v>0</v>
      </c>
      <c r="AI81" s="305">
        <f>'Datu ievade'!AG160</f>
        <v>0</v>
      </c>
      <c r="AJ81" s="305">
        <f>'Datu ievade'!AH160</f>
        <v>0</v>
      </c>
      <c r="AK81" s="305">
        <f>'Datu ievade'!AI160</f>
        <v>0</v>
      </c>
    </row>
    <row r="82" spans="2:37" x14ac:dyDescent="0.2">
      <c r="B82" s="31" t="s">
        <v>410</v>
      </c>
      <c r="C82" s="305">
        <v>0</v>
      </c>
      <c r="D82" s="305">
        <f>IF(OR(D2&lt;'Datu ievade'!$B$15,NOT(SUM($C$82:C82)&lt;SUM($C$81:C81))),0,SUM($C$81:$AI$81)/'Datu ievade'!B162)</f>
        <v>0</v>
      </c>
      <c r="E82" s="305">
        <f>IF(OR(E2&lt;'Datu ievade'!$B$15,NOT(SUM($C$82:D82)&lt;SUM($C$81:D81))),0,SUM($C$81:$AI$81)/'Datu ievade'!$B$162)</f>
        <v>0</v>
      </c>
      <c r="F82" s="305">
        <f>IF(OR(F2&lt;'Datu ievade'!$B$15,NOT(SUM($C$82:E82)&lt;SUM($C$81:E81))),0,SUM($C$81:$AI$81)/'Datu ievade'!$B$162)</f>
        <v>5000</v>
      </c>
      <c r="G82" s="305">
        <f>IF(OR(G2&lt;'Datu ievade'!$B$15,NOT(SUM($C$82:F82)&lt;SUM($C$81:F81))),0,SUM($C$81:$AI$81)/'Datu ievade'!$B$162)</f>
        <v>5000</v>
      </c>
      <c r="H82" s="305">
        <f>IF(OR(H2&lt;'Datu ievade'!$B$15,NOT(SUM($C$82:G82)&lt;SUM($C$81:G81))),0,SUM($C$81:$AI$81)/'Datu ievade'!$B$162)</f>
        <v>5000</v>
      </c>
      <c r="I82" s="305">
        <f>IF(OR(I2&lt;'Datu ievade'!$B$15,NOT(SUM($C$82:H82)&lt;SUM($C$81:H81))),0,SUM($C$81:$AI$81)/'Datu ievade'!$B$162)</f>
        <v>5000</v>
      </c>
      <c r="J82" s="305">
        <f>IF(OR(J2&lt;'Datu ievade'!$B$15,NOT(SUM($C$82:I82)&lt;SUM($C$81:I81))),0,SUM($C$81:$AI$81)/'Datu ievade'!$B$162)</f>
        <v>5000</v>
      </c>
      <c r="K82" s="305">
        <f>IF(OR(K2&lt;'Datu ievade'!$B$15,NOT(SUM($C$82:J82)&lt;SUM($C$81:J81))),0,SUM($C$81:$AI$81)/'Datu ievade'!$B$162)</f>
        <v>5000</v>
      </c>
      <c r="L82" s="305">
        <f>IF(OR(L2&lt;'Datu ievade'!$B$15,NOT(SUM($C$82:K82)&lt;SUM($C$81:K81))),0,SUM($C$81:$AI$81)/'Datu ievade'!$B$162)</f>
        <v>5000</v>
      </c>
      <c r="M82" s="305">
        <f>IF(OR(M2&lt;'Datu ievade'!$B$15,NOT(SUM($C$82:L82)&lt;SUM($C$81:L81))),0,SUM($C$81:$AI$81)/'Datu ievade'!$B$162)</f>
        <v>5000</v>
      </c>
      <c r="N82" s="305">
        <f>IF(OR(N2&lt;'Datu ievade'!$B$15,NOT(SUM($C$82:M82)&lt;SUM($C$81:M81))),0,SUM($C$81:$AI$81)/'Datu ievade'!$B$162)</f>
        <v>5000</v>
      </c>
      <c r="O82" s="305">
        <f>IF(OR(O2&lt;'Datu ievade'!$B$15,NOT(SUM($C$82:N82)&lt;SUM($C$81:N81))),0,SUM($C$81:$AI$81)/'Datu ievade'!$B$162)</f>
        <v>5000</v>
      </c>
      <c r="P82" s="305">
        <f>IF(OR(P2&lt;'Datu ievade'!$B$15,NOT(SUM($C$82:O82)&lt;SUM($C$81:O81))),0,SUM($C$81:$AI$81)/'Datu ievade'!$B$162)</f>
        <v>0</v>
      </c>
      <c r="Q82" s="305">
        <f>IF(OR(Q2&lt;'Datu ievade'!$B$15,NOT(SUM($C$82:P82)&lt;SUM($C$81:P81))),0,SUM($C$81:$AI$81)/'Datu ievade'!$B$162)</f>
        <v>0</v>
      </c>
      <c r="R82" s="305">
        <f>IF(OR(R2&lt;'Datu ievade'!$B$15,NOT(SUM($C$82:Q82)&lt;SUM($C$81:Q81))),0,SUM($C$81:$AI$81)/'Datu ievade'!$B$162)</f>
        <v>0</v>
      </c>
      <c r="S82" s="305">
        <f>IF(OR(S2&lt;'Datu ievade'!$B$15,NOT(SUM($C$82:R82)&lt;SUM($C$81:R81))),0,SUM($C$81:$AI$81)/'Datu ievade'!$B$162)</f>
        <v>0</v>
      </c>
      <c r="T82" s="305">
        <f>IF(OR(T2&lt;'Datu ievade'!$B$15,NOT(SUM($C$82:S82)&lt;SUM($C$81:S81))),0,SUM($C$81:$AI$81)/'Datu ievade'!$B$162)</f>
        <v>0</v>
      </c>
      <c r="U82" s="305">
        <f>IF(OR(U2&lt;'Datu ievade'!$B$15,NOT(SUM($C$82:T82)&lt;SUM($C$81:T81))),0,SUM($C$81:$AI$81)/'Datu ievade'!$B$162)</f>
        <v>0</v>
      </c>
      <c r="V82" s="305">
        <f>IF(OR(V2&lt;'Datu ievade'!$B$15,NOT(SUM($C$82:U82)&lt;SUM($C$81:U81))),0,SUM($C$81:$AI$81)/'Datu ievade'!$B$162)</f>
        <v>0</v>
      </c>
      <c r="W82" s="305">
        <f>IF(OR(W2&lt;'Datu ievade'!$B$15,NOT(SUM($C$82:V82)&lt;SUM($C$81:V81))),0,SUM($C$81:$AI$81)/'Datu ievade'!$B$162)</f>
        <v>0</v>
      </c>
      <c r="X82" s="305">
        <f>IF(OR(X2&lt;'Datu ievade'!$B$15,NOT(SUM($C$82:W82)&lt;SUM($C$81:W81))),0,SUM($C$81:$AI$81)/'Datu ievade'!$B$162)</f>
        <v>0</v>
      </c>
      <c r="Y82" s="305">
        <f>IF(OR(Y2&lt;'Datu ievade'!$B$15,NOT(SUM($C$82:X82)&lt;SUM($C$81:X81))),0,SUM($C$81:$AI$81)/'Datu ievade'!$B$162)</f>
        <v>0</v>
      </c>
      <c r="Z82" s="305">
        <f>IF(OR(Z2&lt;'Datu ievade'!$B$15,NOT(SUM($C$82:Y82)&lt;SUM($C$81:Y81))),0,SUM($C$81:$AI$81)/'Datu ievade'!$B$162)</f>
        <v>0</v>
      </c>
      <c r="AA82" s="305">
        <f>IF(OR(AA2&lt;'Datu ievade'!$B$15,NOT(SUM($C$82:Z82)&lt;SUM($C$81:Z81))),0,SUM($C$81:$AI$81)/'Datu ievade'!$B$162)</f>
        <v>0</v>
      </c>
      <c r="AB82" s="305">
        <f>IF(OR(AB2&lt;'Datu ievade'!$B$15,NOT(SUM($C$82:AA82)&lt;SUM($C$81:AA81))),0,SUM($C$81:$AI$81)/'Datu ievade'!$B$162)</f>
        <v>0</v>
      </c>
      <c r="AC82" s="305">
        <f>IF(OR(AC2&lt;'Datu ievade'!$B$15,NOT(SUM($C$82:AB82)&lt;SUM($C$81:AB81))),0,SUM($C$81:$AI$81)/'Datu ievade'!$B$162)</f>
        <v>0</v>
      </c>
      <c r="AD82" s="305">
        <f>IF(OR(AD2&lt;'Datu ievade'!$B$15,NOT(SUM($C$82:AC82)&lt;SUM($C$81:AC81))),0,SUM($C$81:$AI$81)/'Datu ievade'!$B$162)</f>
        <v>0</v>
      </c>
      <c r="AE82" s="305">
        <f>IF(OR(AE2&lt;'Datu ievade'!$B$15,NOT(SUM($C$82:AD82)&lt;SUM($C$81:AD81))),0,SUM($C$81:$AI$81)/'Datu ievade'!$B$162)</f>
        <v>0</v>
      </c>
      <c r="AF82" s="305">
        <f>IF(OR(AF2&lt;'Datu ievade'!$B$15,NOT(SUM($C$82:AE82)&lt;SUM($C$81:AE81))),0,SUM($C$81:$AI$81)/'Datu ievade'!$B$162)</f>
        <v>0</v>
      </c>
      <c r="AG82" s="305">
        <f>IF(OR(AG2&lt;'Datu ievade'!$B$15,NOT(SUM($C$82:AF82)&lt;SUM($C$81:AF81))),0,SUM($C$81:$AI$81)/'Datu ievade'!$B$162)</f>
        <v>0</v>
      </c>
      <c r="AH82" s="305">
        <f>IF(OR(AH2&lt;'Datu ievade'!$B$15,NOT(SUM($C$82:AG82)&lt;SUM($C$81:AG81))),0,SUM($C$81:$AI$81)/'Datu ievade'!$B$162)</f>
        <v>0</v>
      </c>
      <c r="AI82" s="305">
        <f>IF(OR(AI2&lt;'Datu ievade'!$B$15,NOT(SUM($C$82:AH82)&lt;SUM($C$81:AH81))),0,SUM($C$81:$AI$81)/'Datu ievade'!$B$162)</f>
        <v>0</v>
      </c>
      <c r="AJ82" s="305">
        <f>IF(OR(AJ2&lt;'Datu ievade'!$B$15,NOT(SUM($C$82:AI82)&lt;SUM($C$81:AI81))),0,SUM($C$81:$AI$81)/'Datu ievade'!$B$162)</f>
        <v>0</v>
      </c>
      <c r="AK82" s="305">
        <f>IF(OR(AK2&lt;'Datu ievade'!$B$15,NOT(SUM($C$82:AJ82)&lt;SUM($C$81:AJ81))),0,SUM($C$81:$AI$81)/'Datu ievade'!$B$162)</f>
        <v>0</v>
      </c>
    </row>
    <row r="83" spans="2:37" x14ac:dyDescent="0.2">
      <c r="B83" s="31" t="s">
        <v>485</v>
      </c>
      <c r="C83" s="305">
        <v>0</v>
      </c>
      <c r="D83" s="305">
        <f>C83+D81-D82</f>
        <v>50000</v>
      </c>
      <c r="E83" s="305">
        <f t="shared" ref="E83:AK83" si="38">D83+E81-E82</f>
        <v>50000</v>
      </c>
      <c r="F83" s="305">
        <f t="shared" si="38"/>
        <v>45000</v>
      </c>
      <c r="G83" s="305">
        <f t="shared" si="38"/>
        <v>40000</v>
      </c>
      <c r="H83" s="305">
        <f t="shared" si="38"/>
        <v>35000</v>
      </c>
      <c r="I83" s="305">
        <f t="shared" si="38"/>
        <v>30000</v>
      </c>
      <c r="J83" s="305">
        <f t="shared" si="38"/>
        <v>25000</v>
      </c>
      <c r="K83" s="305">
        <f t="shared" si="38"/>
        <v>20000</v>
      </c>
      <c r="L83" s="305">
        <f t="shared" si="38"/>
        <v>15000</v>
      </c>
      <c r="M83" s="305">
        <f t="shared" si="38"/>
        <v>10000</v>
      </c>
      <c r="N83" s="305">
        <f t="shared" si="38"/>
        <v>5000</v>
      </c>
      <c r="O83" s="305">
        <f t="shared" si="38"/>
        <v>0</v>
      </c>
      <c r="P83" s="305">
        <f t="shared" si="38"/>
        <v>0</v>
      </c>
      <c r="Q83" s="305">
        <f t="shared" si="38"/>
        <v>0</v>
      </c>
      <c r="R83" s="305">
        <f t="shared" si="38"/>
        <v>0</v>
      </c>
      <c r="S83" s="305">
        <f t="shared" si="38"/>
        <v>0</v>
      </c>
      <c r="T83" s="305">
        <f t="shared" si="38"/>
        <v>0</v>
      </c>
      <c r="U83" s="305">
        <f t="shared" si="38"/>
        <v>0</v>
      </c>
      <c r="V83" s="305">
        <f t="shared" si="38"/>
        <v>0</v>
      </c>
      <c r="W83" s="305">
        <f t="shared" si="38"/>
        <v>0</v>
      </c>
      <c r="X83" s="305">
        <f t="shared" si="38"/>
        <v>0</v>
      </c>
      <c r="Y83" s="305">
        <f t="shared" si="38"/>
        <v>0</v>
      </c>
      <c r="Z83" s="305">
        <f t="shared" si="38"/>
        <v>0</v>
      </c>
      <c r="AA83" s="305">
        <f t="shared" si="38"/>
        <v>0</v>
      </c>
      <c r="AB83" s="305">
        <f t="shared" si="38"/>
        <v>0</v>
      </c>
      <c r="AC83" s="305">
        <f t="shared" si="38"/>
        <v>0</v>
      </c>
      <c r="AD83" s="305">
        <f t="shared" si="38"/>
        <v>0</v>
      </c>
      <c r="AE83" s="305">
        <f t="shared" si="38"/>
        <v>0</v>
      </c>
      <c r="AF83" s="305">
        <f t="shared" si="38"/>
        <v>0</v>
      </c>
      <c r="AG83" s="305">
        <f t="shared" si="38"/>
        <v>0</v>
      </c>
      <c r="AH83" s="305">
        <f t="shared" si="38"/>
        <v>0</v>
      </c>
      <c r="AI83" s="305">
        <f t="shared" si="38"/>
        <v>0</v>
      </c>
      <c r="AJ83" s="305">
        <f t="shared" si="38"/>
        <v>0</v>
      </c>
      <c r="AK83" s="305">
        <f t="shared" si="38"/>
        <v>0</v>
      </c>
    </row>
    <row r="84" spans="2:37" x14ac:dyDescent="0.2">
      <c r="B84" s="31" t="s">
        <v>371</v>
      </c>
      <c r="C84" s="305">
        <v>0</v>
      </c>
      <c r="D84" s="305">
        <f>C83*'Datu ievade'!$B$161</f>
        <v>0</v>
      </c>
      <c r="E84" s="305">
        <f>D83*'Datu ievade'!$B$161</f>
        <v>2000</v>
      </c>
      <c r="F84" s="305">
        <f>E83*'Datu ievade'!$B$161</f>
        <v>2000</v>
      </c>
      <c r="G84" s="305">
        <f>F83*'Datu ievade'!$B$161</f>
        <v>1800</v>
      </c>
      <c r="H84" s="305">
        <f>G83*'Datu ievade'!$B$161</f>
        <v>1600</v>
      </c>
      <c r="I84" s="305">
        <f>H83*'Datu ievade'!$B$161</f>
        <v>1400</v>
      </c>
      <c r="J84" s="305">
        <f>I83*'Datu ievade'!$B$161</f>
        <v>1200</v>
      </c>
      <c r="K84" s="305">
        <f>J83*'Datu ievade'!$B$161</f>
        <v>1000</v>
      </c>
      <c r="L84" s="305">
        <f>K83*'Datu ievade'!$B$161</f>
        <v>800</v>
      </c>
      <c r="M84" s="305">
        <f>L83*'Datu ievade'!$B$161</f>
        <v>600</v>
      </c>
      <c r="N84" s="305">
        <f>M83*'Datu ievade'!$B$161</f>
        <v>400</v>
      </c>
      <c r="O84" s="305">
        <f>N83*'Datu ievade'!$B$161</f>
        <v>200</v>
      </c>
      <c r="P84" s="305">
        <f>O83*'Datu ievade'!$B$161</f>
        <v>0</v>
      </c>
      <c r="Q84" s="305">
        <f>P83*'Datu ievade'!$B$161</f>
        <v>0</v>
      </c>
      <c r="R84" s="305">
        <f>Q83*'Datu ievade'!$B$161</f>
        <v>0</v>
      </c>
      <c r="S84" s="305">
        <f>R83*'Datu ievade'!$B$161</f>
        <v>0</v>
      </c>
      <c r="T84" s="305">
        <f>S83*'Datu ievade'!$B$161</f>
        <v>0</v>
      </c>
      <c r="U84" s="305">
        <f>T83*'Datu ievade'!$B$161</f>
        <v>0</v>
      </c>
      <c r="V84" s="305">
        <f>U83*'Datu ievade'!$B$161</f>
        <v>0</v>
      </c>
      <c r="W84" s="305">
        <f>V83*'Datu ievade'!$B$161</f>
        <v>0</v>
      </c>
      <c r="X84" s="305">
        <f>W83*'Datu ievade'!$B$161</f>
        <v>0</v>
      </c>
      <c r="Y84" s="305">
        <f>X83*'Datu ievade'!$B$161</f>
        <v>0</v>
      </c>
      <c r="Z84" s="305">
        <f>Y83*'Datu ievade'!$B$161</f>
        <v>0</v>
      </c>
      <c r="AA84" s="305">
        <f>Z83*'Datu ievade'!$B$161</f>
        <v>0</v>
      </c>
      <c r="AB84" s="305">
        <f>AA83*'Datu ievade'!$B$161</f>
        <v>0</v>
      </c>
      <c r="AC84" s="305">
        <f>AB83*'Datu ievade'!$B$161</f>
        <v>0</v>
      </c>
      <c r="AD84" s="305">
        <f>AC83*'Datu ievade'!$B$161</f>
        <v>0</v>
      </c>
      <c r="AE84" s="305">
        <f>AD83*'Datu ievade'!$B$161</f>
        <v>0</v>
      </c>
      <c r="AF84" s="305">
        <f>AE83*'Datu ievade'!$B$161</f>
        <v>0</v>
      </c>
      <c r="AG84" s="305">
        <f>AF83*'Datu ievade'!$B$161</f>
        <v>0</v>
      </c>
      <c r="AH84" s="305">
        <f>AG83*'Datu ievade'!$B$161</f>
        <v>0</v>
      </c>
      <c r="AI84" s="305">
        <f>AH83*'Datu ievade'!$B$161</f>
        <v>0</v>
      </c>
      <c r="AJ84" s="305">
        <f>AI83*'Datu ievade'!$B$161</f>
        <v>0</v>
      </c>
      <c r="AK84" s="305">
        <f>AJ83*'Datu ievade'!$B$161</f>
        <v>0</v>
      </c>
    </row>
  </sheetData>
  <sheetProtection algorithmName="SHA-512" hashValue="Z4nRAp6jJ+oSIdb9R7w/bg/Ne9XtZJcWGByk/qnHtHGTYEXx58OJR11WhpbfleJ9P2mKUiDELvITqd3WsleCkQ==" saltValue="hLPBfABCsaPrqg8lwuYyRQ==" spinCount="100000" sheet="1" objects="1" scenarios="1"/>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outlinePr summaryBelow="0"/>
  </sheetPr>
  <dimension ref="A1:DA67"/>
  <sheetViews>
    <sheetView zoomScale="85" zoomScaleNormal="85" workbookViewId="0">
      <pane xSplit="7" topLeftCell="H1" activePane="topRight" state="frozen"/>
      <selection activeCell="A4" sqref="A4"/>
      <selection pane="topRight" activeCell="H34" sqref="C34:H34"/>
    </sheetView>
  </sheetViews>
  <sheetFormatPr defaultColWidth="9.140625" defaultRowHeight="12.75" outlineLevelCol="2" x14ac:dyDescent="0.2"/>
  <cols>
    <col min="1" max="1" width="47.7109375" style="415" customWidth="1"/>
    <col min="2" max="2" width="18" style="415" customWidth="1"/>
    <col min="3" max="3" width="16" style="415" customWidth="1"/>
    <col min="4" max="4" width="13" style="415" hidden="1" customWidth="1"/>
    <col min="5" max="5" width="8.140625" style="415" hidden="1" customWidth="1"/>
    <col min="6" max="6" width="11.5703125" style="415" hidden="1" customWidth="1"/>
    <col min="7" max="7" width="8.140625" style="415" hidden="1" customWidth="1"/>
    <col min="8" max="8" width="10.42578125" style="415" customWidth="1" outlineLevel="1"/>
    <col min="9" max="9" width="7.28515625" style="415" customWidth="1" outlineLevel="1"/>
    <col min="10" max="10" width="8.85546875" style="415" customWidth="1" outlineLevel="1"/>
    <col min="11" max="11" width="8.42578125" style="568" customWidth="1" outlineLevel="1"/>
    <col min="12" max="12" width="9.5703125" style="415" customWidth="1" outlineLevel="1"/>
    <col min="13" max="13" width="9" style="415" customWidth="1" outlineLevel="1"/>
    <col min="14" max="14" width="12.28515625" style="415" customWidth="1" outlineLevel="1"/>
    <col min="15" max="15" width="10.42578125" style="415" customWidth="1" outlineLevel="1"/>
    <col min="16" max="16" width="11.5703125" style="415" customWidth="1" outlineLevel="1"/>
    <col min="17" max="17" width="11.42578125" style="415" customWidth="1" outlineLevel="1"/>
    <col min="18" max="18" width="11.85546875" style="415" customWidth="1" outlineLevel="1"/>
    <col min="19" max="19" width="12.5703125" style="415" customWidth="1" outlineLevel="1"/>
    <col min="20" max="20" width="10.85546875" style="415" bestFit="1" customWidth="1"/>
    <col min="21" max="21" width="12.85546875" style="415" customWidth="1" outlineLevel="1"/>
    <col min="22" max="22" width="11.28515625" style="568" customWidth="1" outlineLevel="1"/>
    <col min="23" max="23" width="10.7109375" style="415" customWidth="1" outlineLevel="1"/>
    <col min="24" max="24" width="11" style="415" customWidth="1" outlineLevel="1"/>
    <col min="25" max="25" width="10.7109375" style="415" customWidth="1" outlineLevel="1"/>
    <col min="26" max="26" width="12.5703125" style="415" customWidth="1" outlineLevel="1"/>
    <col min="27" max="27" width="11.85546875" style="415" customWidth="1" outlineLevel="1"/>
    <col min="28" max="28" width="11.28515625" style="415" customWidth="1" outlineLevel="1"/>
    <col min="29" max="29" width="10.42578125" style="415" customWidth="1" outlineLevel="1"/>
    <col min="30" max="30" width="11.42578125" style="415" customWidth="1" outlineLevel="1"/>
    <col min="31" max="31" width="11.85546875" style="415" customWidth="1" outlineLevel="1"/>
    <col min="32" max="32" width="12.5703125" style="415" customWidth="1" outlineLevel="1"/>
    <col min="33" max="33" width="11.5703125" style="415" bestFit="1" customWidth="1"/>
    <col min="34" max="34" width="12.140625" style="415" customWidth="1" outlineLevel="1"/>
    <col min="35" max="35" width="12.140625" style="568" customWidth="1" outlineLevel="1"/>
    <col min="36" max="39" width="12.140625" style="415" customWidth="1" outlineLevel="1"/>
    <col min="40" max="40" width="14.140625" style="415" customWidth="1" outlineLevel="1"/>
    <col min="41" max="41" width="13.5703125" style="415" customWidth="1" outlineLevel="1"/>
    <col min="42" max="42" width="12.140625" style="415" customWidth="1" outlineLevel="1"/>
    <col min="43" max="43" width="12.5703125" style="415" customWidth="1" outlineLevel="1"/>
    <col min="44" max="45" width="12.140625" style="415" customWidth="1" outlineLevel="1"/>
    <col min="46" max="46" width="12.140625" style="415" customWidth="1"/>
    <col min="47" max="58" width="12.140625" style="415" customWidth="1" outlineLevel="1"/>
    <col min="59" max="59" width="12.140625" style="415" customWidth="1"/>
    <col min="60" max="71" width="12.140625" style="415" hidden="1" customWidth="1" outlineLevel="2"/>
    <col min="72" max="72" width="12.140625" style="415" hidden="1" customWidth="1" collapsed="1"/>
    <col min="73" max="84" width="12.140625" style="415" hidden="1" customWidth="1" outlineLevel="1"/>
    <col min="85" max="85" width="12.140625" style="415" hidden="1" customWidth="1" collapsed="1"/>
    <col min="86" max="95" width="11.5703125" style="415" hidden="1" customWidth="1" outlineLevel="1"/>
    <col min="96" max="96" width="10.42578125" style="415" hidden="1" customWidth="1" outlineLevel="1"/>
    <col min="97" max="97" width="11.5703125" style="415" hidden="1" customWidth="1" outlineLevel="1"/>
    <col min="98" max="98" width="11.5703125" style="415" hidden="1" customWidth="1" collapsed="1"/>
    <col min="99" max="99" width="6" style="415" customWidth="1"/>
    <col min="100" max="100" width="13.7109375" style="415" customWidth="1"/>
    <col min="101" max="101" width="13.85546875" style="415" customWidth="1"/>
    <col min="102" max="102" width="27" style="415" customWidth="1"/>
    <col min="103" max="16384" width="9.140625" style="415"/>
  </cols>
  <sheetData>
    <row r="1" spans="1:105" s="404" customFormat="1" ht="31.5" hidden="1" customHeight="1" x14ac:dyDescent="0.25">
      <c r="A1" s="1017"/>
      <c r="B1" s="1017"/>
      <c r="D1" s="405"/>
      <c r="E1" s="406"/>
      <c r="F1" s="406"/>
      <c r="G1" s="406"/>
      <c r="H1" s="407"/>
      <c r="I1" s="407"/>
      <c r="J1" s="407"/>
      <c r="K1" s="408"/>
      <c r="L1" s="407"/>
      <c r="M1" s="407"/>
      <c r="N1" s="407"/>
      <c r="O1" s="407"/>
      <c r="P1" s="407"/>
      <c r="Q1" s="407"/>
      <c r="R1" s="407"/>
      <c r="S1" s="407"/>
      <c r="T1" s="407"/>
      <c r="U1" s="407"/>
      <c r="V1" s="408"/>
      <c r="W1" s="407"/>
      <c r="X1" s="407"/>
      <c r="Y1" s="408"/>
      <c r="Z1" s="407"/>
      <c r="AA1" s="407"/>
      <c r="AB1" s="407"/>
      <c r="AC1" s="407"/>
      <c r="AD1" s="407"/>
      <c r="AE1" s="407"/>
      <c r="AF1" s="407"/>
      <c r="AG1" s="407"/>
      <c r="AH1" s="407"/>
      <c r="AI1" s="408"/>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9"/>
      <c r="CN1" s="407"/>
      <c r="CO1" s="407"/>
      <c r="CP1" s="407"/>
      <c r="CQ1" s="407"/>
      <c r="CR1" s="407"/>
      <c r="CS1" s="407"/>
      <c r="CT1" s="407"/>
      <c r="CU1" s="407"/>
      <c r="CV1" s="407"/>
      <c r="CW1" s="407"/>
      <c r="CX1" s="407"/>
    </row>
    <row r="2" spans="1:105" s="411" customFormat="1" ht="15.75" hidden="1" customHeight="1" thickBot="1" x14ac:dyDescent="0.25">
      <c r="A2" s="410"/>
      <c r="K2" s="412"/>
      <c r="V2" s="412"/>
      <c r="AI2" s="412"/>
      <c r="CV2" s="410"/>
      <c r="CW2" s="410"/>
    </row>
    <row r="3" spans="1:105" s="411" customFormat="1" ht="15.75" customHeight="1" x14ac:dyDescent="0.2">
      <c r="A3" s="410"/>
      <c r="K3" s="412"/>
      <c r="V3" s="412"/>
      <c r="AI3" s="412"/>
      <c r="CV3" s="410"/>
      <c r="CW3" s="410"/>
    </row>
    <row r="4" spans="1:105" s="411" customFormat="1" ht="15.75" customHeight="1" thickBot="1" x14ac:dyDescent="0.35">
      <c r="A4" s="1025" t="s">
        <v>516</v>
      </c>
      <c r="B4" s="1025"/>
      <c r="C4" s="1025"/>
      <c r="H4" s="413"/>
      <c r="I4" s="413"/>
      <c r="J4" s="413"/>
      <c r="K4" s="414"/>
      <c r="L4" s="413"/>
      <c r="M4" s="413"/>
      <c r="N4" s="413"/>
      <c r="O4" s="413"/>
      <c r="P4" s="413"/>
      <c r="Q4" s="413"/>
      <c r="R4" s="413"/>
      <c r="S4" s="413"/>
      <c r="U4" s="413"/>
      <c r="V4" s="414"/>
      <c r="W4" s="413"/>
      <c r="X4" s="413"/>
      <c r="Y4" s="413"/>
      <c r="Z4" s="413"/>
      <c r="AA4" s="413"/>
      <c r="AB4" s="413"/>
      <c r="AC4" s="413"/>
      <c r="AD4" s="413"/>
      <c r="AE4" s="413"/>
      <c r="AF4" s="413"/>
      <c r="AH4" s="413"/>
      <c r="AI4" s="414"/>
      <c r="AJ4" s="413"/>
      <c r="AK4" s="413"/>
      <c r="AL4" s="413"/>
      <c r="AM4" s="413"/>
      <c r="AN4" s="413"/>
      <c r="AO4" s="413"/>
      <c r="AP4" s="413"/>
      <c r="AQ4" s="413"/>
      <c r="AR4" s="413"/>
      <c r="AS4" s="413"/>
      <c r="CV4" s="410"/>
      <c r="CW4" s="410"/>
    </row>
    <row r="5" spans="1:105" ht="13.5" customHeight="1" thickTop="1" x14ac:dyDescent="0.2">
      <c r="A5" s="1018" t="str">
        <f>"Projekta naudas plūsmas prognoze projektam "&amp;'Datu ievade'!B11</f>
        <v xml:space="preserve">Projekta naudas plūsmas prognoze projektam </v>
      </c>
      <c r="B5" s="1020" t="s">
        <v>506</v>
      </c>
      <c r="C5" s="1021" t="s">
        <v>537</v>
      </c>
      <c r="D5" s="1028" t="s">
        <v>450</v>
      </c>
      <c r="E5" s="1021" t="s">
        <v>449</v>
      </c>
      <c r="F5" s="1028" t="s">
        <v>448</v>
      </c>
      <c r="G5" s="1021" t="s">
        <v>447</v>
      </c>
      <c r="H5" s="1023">
        <v>2020</v>
      </c>
      <c r="I5" s="1024"/>
      <c r="J5" s="1024"/>
      <c r="K5" s="1024"/>
      <c r="L5" s="1024"/>
      <c r="M5" s="1024"/>
      <c r="N5" s="1024"/>
      <c r="O5" s="1024"/>
      <c r="P5" s="1024"/>
      <c r="Q5" s="1024"/>
      <c r="R5" s="1024"/>
      <c r="S5" s="1024"/>
      <c r="T5" s="1032">
        <f>H5</f>
        <v>2020</v>
      </c>
      <c r="U5" s="1024">
        <f>H5+1</f>
        <v>2021</v>
      </c>
      <c r="V5" s="1024"/>
      <c r="W5" s="1024"/>
      <c r="X5" s="1024"/>
      <c r="Y5" s="1024"/>
      <c r="Z5" s="1024"/>
      <c r="AA5" s="1024"/>
      <c r="AB5" s="1024"/>
      <c r="AC5" s="1024"/>
      <c r="AD5" s="1024"/>
      <c r="AE5" s="1024"/>
      <c r="AF5" s="1024"/>
      <c r="AG5" s="1030">
        <f>U5</f>
        <v>2021</v>
      </c>
      <c r="AH5" s="1024">
        <f>U5+1</f>
        <v>2022</v>
      </c>
      <c r="AI5" s="1024"/>
      <c r="AJ5" s="1024"/>
      <c r="AK5" s="1024"/>
      <c r="AL5" s="1024"/>
      <c r="AM5" s="1024"/>
      <c r="AN5" s="1024"/>
      <c r="AO5" s="1024"/>
      <c r="AP5" s="1024"/>
      <c r="AQ5" s="1024"/>
      <c r="AR5" s="1024"/>
      <c r="AS5" s="1024"/>
      <c r="AT5" s="1032">
        <f>AH5</f>
        <v>2022</v>
      </c>
      <c r="AU5" s="1024">
        <f>AH5+1</f>
        <v>2023</v>
      </c>
      <c r="AV5" s="1024"/>
      <c r="AW5" s="1024"/>
      <c r="AX5" s="1024"/>
      <c r="AY5" s="1024"/>
      <c r="AZ5" s="1024"/>
      <c r="BA5" s="1024"/>
      <c r="BB5" s="1024"/>
      <c r="BC5" s="1024"/>
      <c r="BD5" s="1024"/>
      <c r="BE5" s="1024"/>
      <c r="BF5" s="1024"/>
      <c r="BG5" s="1030">
        <f>AU5</f>
        <v>2023</v>
      </c>
      <c r="BH5" s="1024">
        <f>AU5+1</f>
        <v>2024</v>
      </c>
      <c r="BI5" s="1024"/>
      <c r="BJ5" s="1024"/>
      <c r="BK5" s="1024"/>
      <c r="BL5" s="1024"/>
      <c r="BM5" s="1024"/>
      <c r="BN5" s="1024"/>
      <c r="BO5" s="1024"/>
      <c r="BP5" s="1024"/>
      <c r="BQ5" s="1024"/>
      <c r="BR5" s="1024"/>
      <c r="BS5" s="1024"/>
      <c r="BT5" s="1030">
        <f>BH5</f>
        <v>2024</v>
      </c>
      <c r="BU5" s="1024">
        <f>BH5+1</f>
        <v>2025</v>
      </c>
      <c r="BV5" s="1024"/>
      <c r="BW5" s="1024"/>
      <c r="BX5" s="1024"/>
      <c r="BY5" s="1024"/>
      <c r="BZ5" s="1024"/>
      <c r="CA5" s="1024"/>
      <c r="CB5" s="1024"/>
      <c r="CC5" s="1024"/>
      <c r="CD5" s="1024"/>
      <c r="CE5" s="1024"/>
      <c r="CF5" s="1024"/>
      <c r="CG5" s="1030">
        <f>BU5</f>
        <v>2025</v>
      </c>
      <c r="CH5" s="1024">
        <f>BU5+1</f>
        <v>2026</v>
      </c>
      <c r="CI5" s="1024"/>
      <c r="CJ5" s="1024"/>
      <c r="CK5" s="1024"/>
      <c r="CL5" s="1024"/>
      <c r="CM5" s="1024"/>
      <c r="CN5" s="1024"/>
      <c r="CO5" s="1024"/>
      <c r="CP5" s="1024"/>
      <c r="CQ5" s="1024"/>
      <c r="CR5" s="1024"/>
      <c r="CS5" s="1024"/>
      <c r="CT5" s="1030">
        <f>CH5</f>
        <v>2026</v>
      </c>
      <c r="CV5" s="1034" t="s">
        <v>446</v>
      </c>
      <c r="CW5" s="1026" t="s">
        <v>445</v>
      </c>
    </row>
    <row r="6" spans="1:105" s="421" customFormat="1" ht="49.5" customHeight="1" thickBot="1" x14ac:dyDescent="0.25">
      <c r="A6" s="1019"/>
      <c r="B6" s="1020"/>
      <c r="C6" s="1022"/>
      <c r="D6" s="1029"/>
      <c r="E6" s="1022"/>
      <c r="F6" s="1029"/>
      <c r="G6" s="1022"/>
      <c r="H6" s="416" t="s">
        <v>444</v>
      </c>
      <c r="I6" s="417" t="s">
        <v>443</v>
      </c>
      <c r="J6" s="417" t="s">
        <v>442</v>
      </c>
      <c r="K6" s="418" t="s">
        <v>441</v>
      </c>
      <c r="L6" s="417" t="s">
        <v>440</v>
      </c>
      <c r="M6" s="417" t="s">
        <v>439</v>
      </c>
      <c r="N6" s="417" t="s">
        <v>438</v>
      </c>
      <c r="O6" s="417" t="s">
        <v>437</v>
      </c>
      <c r="P6" s="417" t="s">
        <v>436</v>
      </c>
      <c r="Q6" s="417" t="s">
        <v>435</v>
      </c>
      <c r="R6" s="417" t="s">
        <v>434</v>
      </c>
      <c r="S6" s="419" t="s">
        <v>433</v>
      </c>
      <c r="T6" s="1033"/>
      <c r="U6" s="420" t="s">
        <v>444</v>
      </c>
      <c r="V6" s="418" t="s">
        <v>443</v>
      </c>
      <c r="W6" s="417" t="s">
        <v>442</v>
      </c>
      <c r="X6" s="417" t="s">
        <v>441</v>
      </c>
      <c r="Y6" s="417" t="s">
        <v>440</v>
      </c>
      <c r="Z6" s="417" t="s">
        <v>439</v>
      </c>
      <c r="AA6" s="417" t="s">
        <v>438</v>
      </c>
      <c r="AB6" s="417" t="s">
        <v>437</v>
      </c>
      <c r="AC6" s="417" t="s">
        <v>436</v>
      </c>
      <c r="AD6" s="417" t="s">
        <v>435</v>
      </c>
      <c r="AE6" s="417" t="s">
        <v>434</v>
      </c>
      <c r="AF6" s="419" t="s">
        <v>433</v>
      </c>
      <c r="AG6" s="1031"/>
      <c r="AH6" s="420" t="s">
        <v>444</v>
      </c>
      <c r="AI6" s="418" t="s">
        <v>443</v>
      </c>
      <c r="AJ6" s="417" t="s">
        <v>442</v>
      </c>
      <c r="AK6" s="417" t="s">
        <v>441</v>
      </c>
      <c r="AL6" s="417" t="s">
        <v>440</v>
      </c>
      <c r="AM6" s="417" t="s">
        <v>439</v>
      </c>
      <c r="AN6" s="417" t="s">
        <v>438</v>
      </c>
      <c r="AO6" s="417" t="s">
        <v>437</v>
      </c>
      <c r="AP6" s="417" t="s">
        <v>436</v>
      </c>
      <c r="AQ6" s="417" t="s">
        <v>435</v>
      </c>
      <c r="AR6" s="417" t="s">
        <v>434</v>
      </c>
      <c r="AS6" s="419" t="s">
        <v>433</v>
      </c>
      <c r="AT6" s="1033"/>
      <c r="AU6" s="420" t="s">
        <v>444</v>
      </c>
      <c r="AV6" s="418" t="s">
        <v>443</v>
      </c>
      <c r="AW6" s="417" t="s">
        <v>442</v>
      </c>
      <c r="AX6" s="417" t="s">
        <v>441</v>
      </c>
      <c r="AY6" s="417" t="s">
        <v>440</v>
      </c>
      <c r="AZ6" s="417" t="s">
        <v>439</v>
      </c>
      <c r="BA6" s="417" t="s">
        <v>438</v>
      </c>
      <c r="BB6" s="417" t="s">
        <v>437</v>
      </c>
      <c r="BC6" s="417" t="s">
        <v>436</v>
      </c>
      <c r="BD6" s="417" t="s">
        <v>435</v>
      </c>
      <c r="BE6" s="417" t="s">
        <v>434</v>
      </c>
      <c r="BF6" s="419" t="s">
        <v>433</v>
      </c>
      <c r="BG6" s="1031"/>
      <c r="BH6" s="420" t="s">
        <v>444</v>
      </c>
      <c r="BI6" s="418" t="s">
        <v>443</v>
      </c>
      <c r="BJ6" s="417" t="s">
        <v>442</v>
      </c>
      <c r="BK6" s="417" t="s">
        <v>441</v>
      </c>
      <c r="BL6" s="417" t="s">
        <v>440</v>
      </c>
      <c r="BM6" s="417" t="s">
        <v>439</v>
      </c>
      <c r="BN6" s="417" t="s">
        <v>438</v>
      </c>
      <c r="BO6" s="417" t="s">
        <v>437</v>
      </c>
      <c r="BP6" s="417" t="s">
        <v>436</v>
      </c>
      <c r="BQ6" s="417" t="s">
        <v>435</v>
      </c>
      <c r="BR6" s="417" t="s">
        <v>434</v>
      </c>
      <c r="BS6" s="419" t="s">
        <v>433</v>
      </c>
      <c r="BT6" s="1031"/>
      <c r="BU6" s="420" t="s">
        <v>444</v>
      </c>
      <c r="BV6" s="418" t="s">
        <v>443</v>
      </c>
      <c r="BW6" s="417" t="s">
        <v>442</v>
      </c>
      <c r="BX6" s="417" t="s">
        <v>441</v>
      </c>
      <c r="BY6" s="417" t="s">
        <v>440</v>
      </c>
      <c r="BZ6" s="417" t="s">
        <v>439</v>
      </c>
      <c r="CA6" s="417" t="s">
        <v>438</v>
      </c>
      <c r="CB6" s="417" t="s">
        <v>437</v>
      </c>
      <c r="CC6" s="417" t="s">
        <v>436</v>
      </c>
      <c r="CD6" s="417" t="s">
        <v>435</v>
      </c>
      <c r="CE6" s="417" t="s">
        <v>434</v>
      </c>
      <c r="CF6" s="419" t="s">
        <v>433</v>
      </c>
      <c r="CG6" s="1031"/>
      <c r="CH6" s="420" t="s">
        <v>444</v>
      </c>
      <c r="CI6" s="418" t="s">
        <v>443</v>
      </c>
      <c r="CJ6" s="417" t="s">
        <v>442</v>
      </c>
      <c r="CK6" s="417" t="s">
        <v>441</v>
      </c>
      <c r="CL6" s="417" t="s">
        <v>440</v>
      </c>
      <c r="CM6" s="417" t="s">
        <v>439</v>
      </c>
      <c r="CN6" s="417" t="s">
        <v>438</v>
      </c>
      <c r="CO6" s="417" t="s">
        <v>437</v>
      </c>
      <c r="CP6" s="417" t="s">
        <v>436</v>
      </c>
      <c r="CQ6" s="417" t="s">
        <v>435</v>
      </c>
      <c r="CR6" s="417" t="s">
        <v>434</v>
      </c>
      <c r="CS6" s="419" t="s">
        <v>433</v>
      </c>
      <c r="CT6" s="1031"/>
      <c r="CV6" s="1035"/>
      <c r="CW6" s="1027"/>
    </row>
    <row r="7" spans="1:105" s="411" customFormat="1" x14ac:dyDescent="0.2">
      <c r="A7" s="422" t="s">
        <v>432</v>
      </c>
      <c r="B7" s="422"/>
      <c r="C7" s="423"/>
      <c r="D7" s="424"/>
      <c r="E7" s="425"/>
      <c r="F7" s="424"/>
      <c r="G7" s="425"/>
      <c r="H7" s="583"/>
      <c r="I7" s="584"/>
      <c r="J7" s="583"/>
      <c r="K7" s="585"/>
      <c r="L7" s="583"/>
      <c r="M7" s="586"/>
      <c r="N7" s="583"/>
      <c r="O7" s="583"/>
      <c r="P7" s="583"/>
      <c r="Q7" s="583"/>
      <c r="R7" s="583"/>
      <c r="S7" s="587"/>
      <c r="T7" s="426"/>
      <c r="U7" s="588"/>
      <c r="V7" s="585"/>
      <c r="W7" s="583"/>
      <c r="X7" s="583"/>
      <c r="Y7" s="583"/>
      <c r="Z7" s="583" t="s">
        <v>431</v>
      </c>
      <c r="AA7" s="583"/>
      <c r="AB7" s="583" t="s">
        <v>431</v>
      </c>
      <c r="AC7" s="583"/>
      <c r="AD7" s="583"/>
      <c r="AE7" s="583"/>
      <c r="AF7" s="587"/>
      <c r="AG7" s="427"/>
      <c r="AH7" s="588"/>
      <c r="AI7" s="585"/>
      <c r="AJ7" s="583"/>
      <c r="AK7" s="583" t="s">
        <v>431</v>
      </c>
      <c r="AL7" s="583"/>
      <c r="AM7" s="583"/>
      <c r="AN7" s="583" t="s">
        <v>431</v>
      </c>
      <c r="AO7" s="583"/>
      <c r="AP7" s="583" t="s">
        <v>431</v>
      </c>
      <c r="AQ7" s="583"/>
      <c r="AR7" s="583"/>
      <c r="AS7" s="587"/>
      <c r="AT7" s="426"/>
      <c r="AU7" s="588"/>
      <c r="AV7" s="585"/>
      <c r="AW7" s="583"/>
      <c r="AX7" s="583"/>
      <c r="AY7" s="583"/>
      <c r="AZ7" s="583"/>
      <c r="BA7" s="583"/>
      <c r="BB7" s="583"/>
      <c r="BC7" s="583"/>
      <c r="BD7" s="583"/>
      <c r="BE7" s="583"/>
      <c r="BF7" s="587"/>
      <c r="BG7" s="427"/>
      <c r="BH7" s="588"/>
      <c r="BI7" s="585"/>
      <c r="BJ7" s="583"/>
      <c r="BK7" s="583"/>
      <c r="BL7" s="583"/>
      <c r="BM7" s="583"/>
      <c r="BN7" s="583"/>
      <c r="BO7" s="583"/>
      <c r="BP7" s="583"/>
      <c r="BQ7" s="583"/>
      <c r="BR7" s="583"/>
      <c r="BS7" s="587"/>
      <c r="BT7" s="427"/>
      <c r="BU7" s="588"/>
      <c r="BV7" s="585"/>
      <c r="BW7" s="583"/>
      <c r="BX7" s="583"/>
      <c r="BY7" s="583"/>
      <c r="BZ7" s="583"/>
      <c r="CA7" s="583"/>
      <c r="CB7" s="583"/>
      <c r="CC7" s="583"/>
      <c r="CD7" s="583"/>
      <c r="CE7" s="583"/>
      <c r="CF7" s="587"/>
      <c r="CG7" s="427"/>
      <c r="CH7" s="588"/>
      <c r="CI7" s="585"/>
      <c r="CJ7" s="583"/>
      <c r="CK7" s="583"/>
      <c r="CL7" s="583"/>
      <c r="CM7" s="583"/>
      <c r="CN7" s="583"/>
      <c r="CO7" s="583"/>
      <c r="CP7" s="583"/>
      <c r="CQ7" s="583"/>
      <c r="CR7" s="583"/>
      <c r="CS7" s="587"/>
      <c r="CT7" s="427"/>
      <c r="CV7" s="428"/>
      <c r="CW7" s="429"/>
    </row>
    <row r="8" spans="1:105" s="411" customFormat="1" ht="6" customHeight="1" x14ac:dyDescent="0.25">
      <c r="A8" s="422"/>
      <c r="B8" s="430"/>
      <c r="C8" s="431"/>
      <c r="D8" s="432"/>
      <c r="E8" s="433"/>
      <c r="F8" s="432"/>
      <c r="G8" s="433"/>
      <c r="H8" s="434"/>
      <c r="I8" s="434"/>
      <c r="J8" s="434"/>
      <c r="K8" s="434"/>
      <c r="L8" s="434"/>
      <c r="M8" s="434"/>
      <c r="N8" s="434"/>
      <c r="O8" s="434"/>
      <c r="P8" s="434"/>
      <c r="Q8" s="434"/>
      <c r="R8" s="434"/>
      <c r="S8" s="435"/>
      <c r="T8" s="436"/>
      <c r="U8" s="437"/>
      <c r="V8" s="434"/>
      <c r="W8" s="434"/>
      <c r="X8" s="434"/>
      <c r="Y8" s="434"/>
      <c r="Z8" s="434"/>
      <c r="AA8" s="434"/>
      <c r="AB8" s="434"/>
      <c r="AC8" s="434"/>
      <c r="AD8" s="434"/>
      <c r="AE8" s="434"/>
      <c r="AF8" s="435"/>
      <c r="AG8" s="438"/>
      <c r="AH8" s="437"/>
      <c r="AI8" s="434"/>
      <c r="AJ8" s="434"/>
      <c r="AK8" s="434"/>
      <c r="AL8" s="434"/>
      <c r="AM8" s="434"/>
      <c r="AN8" s="434"/>
      <c r="AO8" s="434"/>
      <c r="AP8" s="434"/>
      <c r="AQ8" s="434"/>
      <c r="AR8" s="434"/>
      <c r="AS8" s="435"/>
      <c r="AT8" s="436"/>
      <c r="AU8" s="437"/>
      <c r="AV8" s="434"/>
      <c r="AW8" s="434"/>
      <c r="AX8" s="434"/>
      <c r="AY8" s="434"/>
      <c r="AZ8" s="434"/>
      <c r="BA8" s="434"/>
      <c r="BB8" s="434"/>
      <c r="BC8" s="434"/>
      <c r="BD8" s="434"/>
      <c r="BE8" s="434"/>
      <c r="BF8" s="435"/>
      <c r="BG8" s="438"/>
      <c r="BH8" s="437"/>
      <c r="BI8" s="434"/>
      <c r="BJ8" s="434"/>
      <c r="BK8" s="434"/>
      <c r="BL8" s="434"/>
      <c r="BM8" s="434"/>
      <c r="BN8" s="434"/>
      <c r="BO8" s="434"/>
      <c r="BP8" s="434"/>
      <c r="BQ8" s="434"/>
      <c r="BR8" s="434"/>
      <c r="BS8" s="435"/>
      <c r="BT8" s="438"/>
      <c r="BU8" s="437"/>
      <c r="BV8" s="434"/>
      <c r="BW8" s="434"/>
      <c r="BX8" s="434"/>
      <c r="BY8" s="434"/>
      <c r="BZ8" s="434"/>
      <c r="CA8" s="434"/>
      <c r="CB8" s="434"/>
      <c r="CC8" s="434"/>
      <c r="CD8" s="434"/>
      <c r="CE8" s="434"/>
      <c r="CF8" s="435"/>
      <c r="CG8" s="438"/>
      <c r="CH8" s="437"/>
      <c r="CI8" s="434"/>
      <c r="CJ8" s="434"/>
      <c r="CK8" s="434"/>
      <c r="CL8" s="434"/>
      <c r="CM8" s="434"/>
      <c r="CN8" s="434"/>
      <c r="CO8" s="434"/>
      <c r="CP8" s="434"/>
      <c r="CQ8" s="434"/>
      <c r="CR8" s="434"/>
      <c r="CS8" s="435"/>
      <c r="CT8" s="438"/>
      <c r="CV8" s="439"/>
      <c r="CW8" s="440"/>
    </row>
    <row r="9" spans="1:105" s="411" customFormat="1" x14ac:dyDescent="0.2">
      <c r="A9" s="441" t="s">
        <v>534</v>
      </c>
      <c r="B9" s="430"/>
      <c r="C9" s="442"/>
      <c r="D9" s="443"/>
      <c r="E9" s="444"/>
      <c r="F9" s="443"/>
      <c r="G9" s="444"/>
      <c r="H9" s="445"/>
      <c r="I9" s="445"/>
      <c r="J9" s="445"/>
      <c r="K9" s="445"/>
      <c r="L9" s="445"/>
      <c r="M9" s="445"/>
      <c r="N9" s="445"/>
      <c r="O9" s="445"/>
      <c r="P9" s="445"/>
      <c r="Q9" s="445"/>
      <c r="R9" s="445"/>
      <c r="S9" s="446"/>
      <c r="T9" s="447"/>
      <c r="U9" s="448"/>
      <c r="V9" s="445"/>
      <c r="W9" s="449"/>
      <c r="X9" s="445"/>
      <c r="Y9" s="445"/>
      <c r="Z9" s="445"/>
      <c r="AA9" s="445"/>
      <c r="AB9" s="445"/>
      <c r="AC9" s="445"/>
      <c r="AD9" s="445"/>
      <c r="AE9" s="445"/>
      <c r="AF9" s="446"/>
      <c r="AG9" s="450"/>
      <c r="AH9" s="448"/>
      <c r="AI9" s="445"/>
      <c r="AJ9" s="445"/>
      <c r="AK9" s="445"/>
      <c r="AL9" s="445"/>
      <c r="AM9" s="445"/>
      <c r="AN9" s="445"/>
      <c r="AO9" s="445"/>
      <c r="AP9" s="445"/>
      <c r="AQ9" s="445"/>
      <c r="AR9" s="445"/>
      <c r="AS9" s="446"/>
      <c r="AT9" s="447"/>
      <c r="AU9" s="448"/>
      <c r="AV9" s="445"/>
      <c r="AW9" s="449"/>
      <c r="AX9" s="445"/>
      <c r="AY9" s="445"/>
      <c r="AZ9" s="445"/>
      <c r="BA9" s="445"/>
      <c r="BB9" s="445"/>
      <c r="BC9" s="445"/>
      <c r="BD9" s="445"/>
      <c r="BE9" s="445"/>
      <c r="BF9" s="446"/>
      <c r="BG9" s="450"/>
      <c r="BH9" s="448"/>
      <c r="BI9" s="445"/>
      <c r="BJ9" s="449"/>
      <c r="BK9" s="445"/>
      <c r="BL9" s="445"/>
      <c r="BM9" s="445"/>
      <c r="BN9" s="445"/>
      <c r="BO9" s="445"/>
      <c r="BP9" s="445"/>
      <c r="BQ9" s="445"/>
      <c r="BR9" s="445"/>
      <c r="BS9" s="446"/>
      <c r="BT9" s="450"/>
      <c r="BU9" s="448"/>
      <c r="BV9" s="445"/>
      <c r="BW9" s="449"/>
      <c r="BX9" s="445"/>
      <c r="BY9" s="445"/>
      <c r="BZ9" s="445"/>
      <c r="CA9" s="445"/>
      <c r="CB9" s="445"/>
      <c r="CC9" s="445"/>
      <c r="CD9" s="445"/>
      <c r="CE9" s="445"/>
      <c r="CF9" s="446"/>
      <c r="CG9" s="450"/>
      <c r="CH9" s="448"/>
      <c r="CI9" s="445"/>
      <c r="CJ9" s="449"/>
      <c r="CK9" s="445"/>
      <c r="CL9" s="445"/>
      <c r="CM9" s="445"/>
      <c r="CN9" s="445"/>
      <c r="CO9" s="445"/>
      <c r="CP9" s="445"/>
      <c r="CQ9" s="445"/>
      <c r="CR9" s="445"/>
      <c r="CS9" s="446"/>
      <c r="CT9" s="450"/>
      <c r="CV9" s="451"/>
      <c r="CW9" s="452"/>
    </row>
    <row r="10" spans="1:105" s="464" customFormat="1" ht="12.75" customHeight="1" x14ac:dyDescent="0.2">
      <c r="A10" s="453" t="s">
        <v>430</v>
      </c>
      <c r="B10" s="674">
        <f>Līdzfinansējums!G39</f>
        <v>36997.620356399995</v>
      </c>
      <c r="C10" s="454">
        <f>B10/$B$13</f>
        <v>0.10805005830376489</v>
      </c>
      <c r="D10" s="455"/>
      <c r="E10" s="456"/>
      <c r="F10" s="455"/>
      <c r="G10" s="456"/>
      <c r="H10" s="327"/>
      <c r="I10" s="327"/>
      <c r="J10" s="327"/>
      <c r="K10" s="327"/>
      <c r="L10" s="327"/>
      <c r="M10" s="327"/>
      <c r="N10" s="327"/>
      <c r="O10" s="327"/>
      <c r="P10" s="327"/>
      <c r="Q10" s="327"/>
      <c r="R10" s="327"/>
      <c r="S10" s="328"/>
      <c r="T10" s="457">
        <f>SUM(H10:S10)</f>
        <v>0</v>
      </c>
      <c r="U10" s="341"/>
      <c r="V10" s="329"/>
      <c r="W10" s="327"/>
      <c r="X10" s="327"/>
      <c r="Y10" s="342"/>
      <c r="Z10" s="327"/>
      <c r="AA10" s="343"/>
      <c r="AB10" s="327"/>
      <c r="AC10" s="331"/>
      <c r="AD10" s="327"/>
      <c r="AE10" s="327"/>
      <c r="AF10" s="328"/>
      <c r="AG10" s="458">
        <f>SUM(U10:AF10)</f>
        <v>0</v>
      </c>
      <c r="AH10" s="341"/>
      <c r="AI10" s="329"/>
      <c r="AJ10" s="345"/>
      <c r="AK10" s="329"/>
      <c r="AL10" s="345"/>
      <c r="AM10" s="327"/>
      <c r="AN10" s="327"/>
      <c r="AO10" s="327"/>
      <c r="AP10" s="332"/>
      <c r="AQ10" s="327"/>
      <c r="AR10" s="327"/>
      <c r="AS10" s="328"/>
      <c r="AT10" s="457">
        <f>SUM(AH10:AS10)</f>
        <v>0</v>
      </c>
      <c r="AU10" s="341"/>
      <c r="AV10" s="329"/>
      <c r="AW10" s="327"/>
      <c r="AX10" s="327"/>
      <c r="AY10" s="342"/>
      <c r="AZ10" s="327"/>
      <c r="BA10" s="332"/>
      <c r="BB10" s="327"/>
      <c r="BC10" s="331"/>
      <c r="BD10" s="330"/>
      <c r="BE10" s="327"/>
      <c r="BF10" s="328"/>
      <c r="BG10" s="458">
        <f>SUM(AU10:BF10)</f>
        <v>0</v>
      </c>
      <c r="BH10" s="341"/>
      <c r="BI10" s="329"/>
      <c r="BJ10" s="327"/>
      <c r="BK10" s="327"/>
      <c r="BL10" s="342"/>
      <c r="BM10" s="327"/>
      <c r="BN10" s="332"/>
      <c r="BO10" s="327"/>
      <c r="BP10" s="331"/>
      <c r="BQ10" s="330"/>
      <c r="BR10" s="327"/>
      <c r="BS10" s="328"/>
      <c r="BT10" s="458">
        <f>SUM(BH10:BS10)</f>
        <v>0</v>
      </c>
      <c r="BU10" s="341"/>
      <c r="BV10" s="329"/>
      <c r="BW10" s="327"/>
      <c r="BX10" s="327"/>
      <c r="BY10" s="342"/>
      <c r="BZ10" s="327"/>
      <c r="CA10" s="332"/>
      <c r="CB10" s="327"/>
      <c r="CC10" s="331"/>
      <c r="CD10" s="330"/>
      <c r="CE10" s="327"/>
      <c r="CF10" s="328"/>
      <c r="CG10" s="458">
        <f>SUM(BU10:CF10)</f>
        <v>0</v>
      </c>
      <c r="CH10" s="341"/>
      <c r="CI10" s="329"/>
      <c r="CJ10" s="327"/>
      <c r="CK10" s="327"/>
      <c r="CL10" s="342"/>
      <c r="CM10" s="327"/>
      <c r="CN10" s="332"/>
      <c r="CO10" s="327"/>
      <c r="CP10" s="331"/>
      <c r="CQ10" s="330"/>
      <c r="CR10" s="327"/>
      <c r="CS10" s="328"/>
      <c r="CT10" s="458">
        <f>SUM(CH10:CS10)</f>
        <v>0</v>
      </c>
      <c r="CU10" s="459"/>
      <c r="CV10" s="460">
        <f>T10+AG10+AT10+BG10+BT10+CG10+CT10</f>
        <v>0</v>
      </c>
      <c r="CW10" s="461" t="e">
        <f>CV10/$CV$13</f>
        <v>#DIV/0!</v>
      </c>
      <c r="CX10" s="462"/>
      <c r="CY10" s="463"/>
      <c r="DA10" s="465"/>
    </row>
    <row r="11" spans="1:105" s="464" customFormat="1" ht="12.75" customHeight="1" x14ac:dyDescent="0.2">
      <c r="A11" s="453" t="s">
        <v>626</v>
      </c>
      <c r="B11" s="674">
        <f>SUM('Datu ievade'!B160:H160)+SUM('Datu ievade'!B163:H163)</f>
        <v>50000</v>
      </c>
      <c r="C11" s="454">
        <f>B11/$B$13</f>
        <v>0.14602298372559244</v>
      </c>
      <c r="D11" s="460"/>
      <c r="E11" s="456"/>
      <c r="F11" s="460"/>
      <c r="G11" s="456"/>
      <c r="H11" s="327"/>
      <c r="I11" s="327"/>
      <c r="J11" s="329"/>
      <c r="K11" s="329"/>
      <c r="L11" s="327"/>
      <c r="M11" s="330"/>
      <c r="N11" s="329"/>
      <c r="O11" s="327"/>
      <c r="P11" s="331"/>
      <c r="Q11" s="327"/>
      <c r="R11" s="327"/>
      <c r="S11" s="328"/>
      <c r="T11" s="457">
        <f>SUM(H11:S11)</f>
        <v>0</v>
      </c>
      <c r="U11" s="341"/>
      <c r="V11" s="329"/>
      <c r="W11" s="329"/>
      <c r="X11" s="327"/>
      <c r="Y11" s="327"/>
      <c r="Z11" s="327"/>
      <c r="AA11" s="329"/>
      <c r="AB11" s="327"/>
      <c r="AC11" s="331"/>
      <c r="AD11" s="327"/>
      <c r="AE11" s="327"/>
      <c r="AF11" s="328"/>
      <c r="AG11" s="458">
        <f>SUM(U11:AF11)</f>
        <v>0</v>
      </c>
      <c r="AH11" s="341"/>
      <c r="AI11" s="329"/>
      <c r="AJ11" s="329"/>
      <c r="AK11" s="329"/>
      <c r="AL11" s="327"/>
      <c r="AM11" s="327"/>
      <c r="AN11" s="327"/>
      <c r="AO11" s="327"/>
      <c r="AP11" s="327"/>
      <c r="AQ11" s="327"/>
      <c r="AR11" s="327"/>
      <c r="AS11" s="328"/>
      <c r="AT11" s="457">
        <f>SUM(AH11:AS11)</f>
        <v>0</v>
      </c>
      <c r="AU11" s="341"/>
      <c r="AV11" s="329"/>
      <c r="AW11" s="329"/>
      <c r="AX11" s="329"/>
      <c r="AY11" s="327"/>
      <c r="AZ11" s="327"/>
      <c r="BA11" s="329"/>
      <c r="BB11" s="327"/>
      <c r="BC11" s="331"/>
      <c r="BD11" s="327"/>
      <c r="BE11" s="327"/>
      <c r="BF11" s="328"/>
      <c r="BG11" s="458">
        <f>SUM(AU11:BF11)</f>
        <v>0</v>
      </c>
      <c r="BH11" s="341"/>
      <c r="BI11" s="329"/>
      <c r="BJ11" s="329"/>
      <c r="BK11" s="329"/>
      <c r="BL11" s="327"/>
      <c r="BM11" s="327"/>
      <c r="BN11" s="329"/>
      <c r="BO11" s="327"/>
      <c r="BP11" s="331"/>
      <c r="BQ11" s="327"/>
      <c r="BR11" s="327"/>
      <c r="BS11" s="328"/>
      <c r="BT11" s="458">
        <f>SUM(BH11:BS11)</f>
        <v>0</v>
      </c>
      <c r="BU11" s="341"/>
      <c r="BV11" s="329"/>
      <c r="BW11" s="329"/>
      <c r="BX11" s="329"/>
      <c r="BY11" s="327"/>
      <c r="BZ11" s="327"/>
      <c r="CA11" s="329"/>
      <c r="CB11" s="327"/>
      <c r="CC11" s="331"/>
      <c r="CD11" s="327"/>
      <c r="CE11" s="327"/>
      <c r="CF11" s="328"/>
      <c r="CG11" s="458">
        <f>SUM(BU11:CF11)</f>
        <v>0</v>
      </c>
      <c r="CH11" s="341"/>
      <c r="CI11" s="329"/>
      <c r="CJ11" s="329"/>
      <c r="CK11" s="329"/>
      <c r="CL11" s="327"/>
      <c r="CM11" s="327"/>
      <c r="CN11" s="329"/>
      <c r="CO11" s="327"/>
      <c r="CP11" s="331"/>
      <c r="CQ11" s="327"/>
      <c r="CR11" s="327"/>
      <c r="CS11" s="328"/>
      <c r="CT11" s="458">
        <f>SUM(CH11:CS11)</f>
        <v>0</v>
      </c>
      <c r="CU11" s="459"/>
      <c r="CV11" s="460">
        <f t="shared" ref="CV11:CV12" si="0">T11+AG11+AT11+BG11+BT11+CG11+CT11</f>
        <v>0</v>
      </c>
      <c r="CW11" s="461" t="e">
        <f>CV11/$CV$13</f>
        <v>#DIV/0!</v>
      </c>
      <c r="CX11" s="462"/>
      <c r="CY11" s="463"/>
      <c r="DA11" s="465"/>
    </row>
    <row r="12" spans="1:105" s="464" customFormat="1" ht="12.75" customHeight="1" thickBot="1" x14ac:dyDescent="0.25">
      <c r="A12" s="453" t="s">
        <v>1</v>
      </c>
      <c r="B12" s="674">
        <f>(SUM('Datu ievade'!C63:H63)+SUM('Datu ievade'!C74:H74))-SUM('Projekta naudas plusma'!B10,'Projekta naudas plusma'!B11)</f>
        <v>255414.22964359997</v>
      </c>
      <c r="C12" s="454">
        <f>B12/$B$13</f>
        <v>0.74592695797064268</v>
      </c>
      <c r="D12" s="466"/>
      <c r="E12" s="456"/>
      <c r="F12" s="466"/>
      <c r="G12" s="456"/>
      <c r="H12" s="327"/>
      <c r="I12" s="327"/>
      <c r="J12" s="329"/>
      <c r="K12" s="327"/>
      <c r="L12" s="332"/>
      <c r="M12" s="330"/>
      <c r="N12" s="332"/>
      <c r="O12" s="327"/>
      <c r="P12" s="331"/>
      <c r="Q12" s="327"/>
      <c r="R12" s="327"/>
      <c r="S12" s="328"/>
      <c r="T12" s="457">
        <f>SUM(H12:S12)</f>
        <v>0</v>
      </c>
      <c r="U12" s="344"/>
      <c r="V12" s="327"/>
      <c r="W12" s="329"/>
      <c r="X12" s="329"/>
      <c r="Y12" s="327"/>
      <c r="Z12" s="327"/>
      <c r="AA12" s="329"/>
      <c r="AB12" s="327"/>
      <c r="AC12" s="331"/>
      <c r="AD12" s="327"/>
      <c r="AE12" s="327"/>
      <c r="AF12" s="328"/>
      <c r="AG12" s="458">
        <f>SUM(U12:AF12)</f>
        <v>0</v>
      </c>
      <c r="AH12" s="341"/>
      <c r="AI12" s="329"/>
      <c r="AJ12" s="345"/>
      <c r="AK12" s="327"/>
      <c r="AL12" s="327"/>
      <c r="AM12" s="327"/>
      <c r="AN12" s="327"/>
      <c r="AO12" s="327"/>
      <c r="AP12" s="327"/>
      <c r="AQ12" s="327"/>
      <c r="AR12" s="327"/>
      <c r="AS12" s="328"/>
      <c r="AT12" s="457">
        <f>SUM(AH12:AS12)</f>
        <v>0</v>
      </c>
      <c r="AU12" s="341"/>
      <c r="AV12" s="327"/>
      <c r="AW12" s="329"/>
      <c r="AX12" s="327"/>
      <c r="AY12" s="327"/>
      <c r="AZ12" s="327"/>
      <c r="BA12" s="329"/>
      <c r="BB12" s="327"/>
      <c r="BC12" s="331"/>
      <c r="BD12" s="327"/>
      <c r="BE12" s="327"/>
      <c r="BF12" s="328"/>
      <c r="BG12" s="458">
        <f>SUM(AU12:BF12)</f>
        <v>0</v>
      </c>
      <c r="BH12" s="341"/>
      <c r="BI12" s="327"/>
      <c r="BJ12" s="329"/>
      <c r="BK12" s="327"/>
      <c r="BL12" s="327"/>
      <c r="BM12" s="327"/>
      <c r="BN12" s="329"/>
      <c r="BO12" s="327"/>
      <c r="BP12" s="331"/>
      <c r="BQ12" s="327"/>
      <c r="BR12" s="327"/>
      <c r="BS12" s="328"/>
      <c r="BT12" s="458">
        <f>SUM(BH12:BS12)</f>
        <v>0</v>
      </c>
      <c r="BU12" s="341"/>
      <c r="BV12" s="327"/>
      <c r="BW12" s="329"/>
      <c r="BX12" s="327"/>
      <c r="BY12" s="327"/>
      <c r="BZ12" s="327"/>
      <c r="CA12" s="329"/>
      <c r="CB12" s="327"/>
      <c r="CC12" s="331"/>
      <c r="CD12" s="327"/>
      <c r="CE12" s="327"/>
      <c r="CF12" s="328"/>
      <c r="CG12" s="458">
        <f>SUM(BU12:CF12)</f>
        <v>0</v>
      </c>
      <c r="CH12" s="341"/>
      <c r="CI12" s="327"/>
      <c r="CJ12" s="329"/>
      <c r="CK12" s="327"/>
      <c r="CL12" s="327"/>
      <c r="CM12" s="327"/>
      <c r="CN12" s="329"/>
      <c r="CO12" s="327"/>
      <c r="CP12" s="331"/>
      <c r="CQ12" s="327"/>
      <c r="CR12" s="327"/>
      <c r="CS12" s="328"/>
      <c r="CT12" s="458">
        <f>SUM(CH12:CS12)</f>
        <v>0</v>
      </c>
      <c r="CU12" s="459"/>
      <c r="CV12" s="460">
        <f t="shared" si="0"/>
        <v>0</v>
      </c>
      <c r="CW12" s="461" t="e">
        <f>CV12/$CV$13</f>
        <v>#DIV/0!</v>
      </c>
      <c r="CX12" s="462"/>
      <c r="CY12" s="463"/>
      <c r="DA12" s="465"/>
    </row>
    <row r="13" spans="1:105" s="410" customFormat="1" ht="26.25" customHeight="1" thickBot="1" x14ac:dyDescent="0.25">
      <c r="A13" s="467" t="s">
        <v>535</v>
      </c>
      <c r="B13" s="675">
        <f>SUM(B10:B12)</f>
        <v>342411.85</v>
      </c>
      <c r="C13" s="468">
        <f>SUM(C10:C12)</f>
        <v>1</v>
      </c>
      <c r="D13" s="469"/>
      <c r="E13" s="470"/>
      <c r="F13" s="469"/>
      <c r="G13" s="470"/>
      <c r="H13" s="471">
        <f t="shared" ref="H13:S13" si="1">SUM(H10:H12)</f>
        <v>0</v>
      </c>
      <c r="I13" s="471">
        <f t="shared" si="1"/>
        <v>0</v>
      </c>
      <c r="J13" s="471">
        <f t="shared" si="1"/>
        <v>0</v>
      </c>
      <c r="K13" s="471">
        <f t="shared" si="1"/>
        <v>0</v>
      </c>
      <c r="L13" s="471">
        <f t="shared" si="1"/>
        <v>0</v>
      </c>
      <c r="M13" s="471">
        <f t="shared" si="1"/>
        <v>0</v>
      </c>
      <c r="N13" s="471">
        <f t="shared" si="1"/>
        <v>0</v>
      </c>
      <c r="O13" s="471">
        <f t="shared" si="1"/>
        <v>0</v>
      </c>
      <c r="P13" s="471">
        <f t="shared" si="1"/>
        <v>0</v>
      </c>
      <c r="Q13" s="471">
        <f t="shared" si="1"/>
        <v>0</v>
      </c>
      <c r="R13" s="471">
        <f t="shared" si="1"/>
        <v>0</v>
      </c>
      <c r="S13" s="472">
        <f t="shared" si="1"/>
        <v>0</v>
      </c>
      <c r="T13" s="473">
        <f>SUM(H13:S13)</f>
        <v>0</v>
      </c>
      <c r="U13" s="474">
        <f t="shared" ref="U13:AF13" si="2">SUM(U10:U12)</f>
        <v>0</v>
      </c>
      <c r="V13" s="471">
        <f t="shared" si="2"/>
        <v>0</v>
      </c>
      <c r="W13" s="471">
        <f t="shared" si="2"/>
        <v>0</v>
      </c>
      <c r="X13" s="471">
        <f t="shared" si="2"/>
        <v>0</v>
      </c>
      <c r="Y13" s="471">
        <f t="shared" si="2"/>
        <v>0</v>
      </c>
      <c r="Z13" s="471">
        <f t="shared" si="2"/>
        <v>0</v>
      </c>
      <c r="AA13" s="471">
        <f t="shared" si="2"/>
        <v>0</v>
      </c>
      <c r="AB13" s="471">
        <f t="shared" si="2"/>
        <v>0</v>
      </c>
      <c r="AC13" s="471">
        <f t="shared" si="2"/>
        <v>0</v>
      </c>
      <c r="AD13" s="471">
        <f t="shared" si="2"/>
        <v>0</v>
      </c>
      <c r="AE13" s="471">
        <f t="shared" si="2"/>
        <v>0</v>
      </c>
      <c r="AF13" s="472">
        <f t="shared" si="2"/>
        <v>0</v>
      </c>
      <c r="AG13" s="473">
        <f>SUM(U13:AF13)</f>
        <v>0</v>
      </c>
      <c r="AH13" s="474">
        <f t="shared" ref="AH13:AS13" si="3">SUM(AH10:AH12)</f>
        <v>0</v>
      </c>
      <c r="AI13" s="471">
        <f t="shared" si="3"/>
        <v>0</v>
      </c>
      <c r="AJ13" s="471">
        <f t="shared" si="3"/>
        <v>0</v>
      </c>
      <c r="AK13" s="471">
        <f t="shared" si="3"/>
        <v>0</v>
      </c>
      <c r="AL13" s="471">
        <f t="shared" si="3"/>
        <v>0</v>
      </c>
      <c r="AM13" s="471">
        <f t="shared" si="3"/>
        <v>0</v>
      </c>
      <c r="AN13" s="471">
        <f t="shared" si="3"/>
        <v>0</v>
      </c>
      <c r="AO13" s="471">
        <f t="shared" si="3"/>
        <v>0</v>
      </c>
      <c r="AP13" s="471">
        <f t="shared" si="3"/>
        <v>0</v>
      </c>
      <c r="AQ13" s="471">
        <f t="shared" si="3"/>
        <v>0</v>
      </c>
      <c r="AR13" s="471">
        <f t="shared" si="3"/>
        <v>0</v>
      </c>
      <c r="AS13" s="472">
        <f t="shared" si="3"/>
        <v>0</v>
      </c>
      <c r="AT13" s="473">
        <f>SUM(AH13:AS13)</f>
        <v>0</v>
      </c>
      <c r="AU13" s="474">
        <f t="shared" ref="AU13:BF13" si="4">SUM(AU10:AU12)</f>
        <v>0</v>
      </c>
      <c r="AV13" s="471">
        <f t="shared" si="4"/>
        <v>0</v>
      </c>
      <c r="AW13" s="471">
        <f t="shared" si="4"/>
        <v>0</v>
      </c>
      <c r="AX13" s="471">
        <f t="shared" si="4"/>
        <v>0</v>
      </c>
      <c r="AY13" s="471">
        <f t="shared" si="4"/>
        <v>0</v>
      </c>
      <c r="AZ13" s="471">
        <f t="shared" si="4"/>
        <v>0</v>
      </c>
      <c r="BA13" s="471">
        <f t="shared" si="4"/>
        <v>0</v>
      </c>
      <c r="BB13" s="471">
        <f t="shared" si="4"/>
        <v>0</v>
      </c>
      <c r="BC13" s="471">
        <f t="shared" si="4"/>
        <v>0</v>
      </c>
      <c r="BD13" s="471">
        <f t="shared" si="4"/>
        <v>0</v>
      </c>
      <c r="BE13" s="471">
        <f t="shared" si="4"/>
        <v>0</v>
      </c>
      <c r="BF13" s="472">
        <f t="shared" si="4"/>
        <v>0</v>
      </c>
      <c r="BG13" s="473">
        <f>SUM(AU13:BF13)</f>
        <v>0</v>
      </c>
      <c r="BH13" s="474">
        <f t="shared" ref="BH13:BS13" si="5">SUM(BH10:BH12)</f>
        <v>0</v>
      </c>
      <c r="BI13" s="471">
        <f t="shared" si="5"/>
        <v>0</v>
      </c>
      <c r="BJ13" s="471">
        <f t="shared" si="5"/>
        <v>0</v>
      </c>
      <c r="BK13" s="471">
        <f t="shared" si="5"/>
        <v>0</v>
      </c>
      <c r="BL13" s="471">
        <f t="shared" si="5"/>
        <v>0</v>
      </c>
      <c r="BM13" s="471">
        <f t="shared" si="5"/>
        <v>0</v>
      </c>
      <c r="BN13" s="471">
        <f t="shared" si="5"/>
        <v>0</v>
      </c>
      <c r="BO13" s="471">
        <f t="shared" si="5"/>
        <v>0</v>
      </c>
      <c r="BP13" s="471">
        <f t="shared" si="5"/>
        <v>0</v>
      </c>
      <c r="BQ13" s="471">
        <f t="shared" si="5"/>
        <v>0</v>
      </c>
      <c r="BR13" s="471">
        <f t="shared" si="5"/>
        <v>0</v>
      </c>
      <c r="BS13" s="472">
        <f t="shared" si="5"/>
        <v>0</v>
      </c>
      <c r="BT13" s="473">
        <f>SUM(BH13:BS13)</f>
        <v>0</v>
      </c>
      <c r="BU13" s="474">
        <f t="shared" ref="BU13:CF13" si="6">SUM(BU10:BU12)</f>
        <v>0</v>
      </c>
      <c r="BV13" s="471">
        <f t="shared" si="6"/>
        <v>0</v>
      </c>
      <c r="BW13" s="471">
        <f t="shared" si="6"/>
        <v>0</v>
      </c>
      <c r="BX13" s="471">
        <f t="shared" si="6"/>
        <v>0</v>
      </c>
      <c r="BY13" s="471">
        <f t="shared" si="6"/>
        <v>0</v>
      </c>
      <c r="BZ13" s="471">
        <f t="shared" si="6"/>
        <v>0</v>
      </c>
      <c r="CA13" s="471">
        <f t="shared" si="6"/>
        <v>0</v>
      </c>
      <c r="CB13" s="471">
        <f t="shared" si="6"/>
        <v>0</v>
      </c>
      <c r="CC13" s="471">
        <f t="shared" si="6"/>
        <v>0</v>
      </c>
      <c r="CD13" s="471">
        <f t="shared" si="6"/>
        <v>0</v>
      </c>
      <c r="CE13" s="471">
        <f t="shared" si="6"/>
        <v>0</v>
      </c>
      <c r="CF13" s="472">
        <f t="shared" si="6"/>
        <v>0</v>
      </c>
      <c r="CG13" s="473">
        <f>SUM(BU13:CF13)</f>
        <v>0</v>
      </c>
      <c r="CH13" s="474">
        <f t="shared" ref="CH13:CS13" si="7">SUM(CH10:CH12)</f>
        <v>0</v>
      </c>
      <c r="CI13" s="471">
        <f t="shared" si="7"/>
        <v>0</v>
      </c>
      <c r="CJ13" s="471">
        <f t="shared" si="7"/>
        <v>0</v>
      </c>
      <c r="CK13" s="471">
        <f t="shared" si="7"/>
        <v>0</v>
      </c>
      <c r="CL13" s="471">
        <f t="shared" si="7"/>
        <v>0</v>
      </c>
      <c r="CM13" s="471">
        <f t="shared" si="7"/>
        <v>0</v>
      </c>
      <c r="CN13" s="471">
        <f t="shared" si="7"/>
        <v>0</v>
      </c>
      <c r="CO13" s="471">
        <f t="shared" si="7"/>
        <v>0</v>
      </c>
      <c r="CP13" s="471">
        <f t="shared" si="7"/>
        <v>0</v>
      </c>
      <c r="CQ13" s="471">
        <f t="shared" si="7"/>
        <v>0</v>
      </c>
      <c r="CR13" s="471">
        <f t="shared" si="7"/>
        <v>0</v>
      </c>
      <c r="CS13" s="472">
        <f t="shared" si="7"/>
        <v>0</v>
      </c>
      <c r="CT13" s="473">
        <f>SUM(CH13:CS13)</f>
        <v>0</v>
      </c>
      <c r="CU13" s="475"/>
      <c r="CV13" s="469">
        <f>SUM(CV10:CV12)</f>
        <v>0</v>
      </c>
      <c r="CW13" s="476" t="e">
        <f>SUM(CW10:CW12)</f>
        <v>#DIV/0!</v>
      </c>
      <c r="CX13" s="462"/>
    </row>
    <row r="14" spans="1:105" s="411" customFormat="1" ht="12.75" customHeight="1" x14ac:dyDescent="0.2">
      <c r="A14" s="477" t="s">
        <v>429</v>
      </c>
      <c r="B14" s="478"/>
      <c r="C14" s="479"/>
      <c r="D14" s="480"/>
      <c r="E14" s="481"/>
      <c r="F14" s="480"/>
      <c r="G14" s="481"/>
      <c r="H14" s="482"/>
      <c r="I14" s="478"/>
      <c r="J14" s="478"/>
      <c r="K14" s="478"/>
      <c r="L14" s="478"/>
      <c r="M14" s="478"/>
      <c r="N14" s="478"/>
      <c r="O14" s="478"/>
      <c r="P14" s="478"/>
      <c r="Q14" s="478"/>
      <c r="R14" s="478"/>
      <c r="S14" s="483"/>
      <c r="T14" s="484"/>
      <c r="U14" s="482"/>
      <c r="V14" s="478"/>
      <c r="W14" s="478"/>
      <c r="X14" s="478"/>
      <c r="Y14" s="478"/>
      <c r="Z14" s="478"/>
      <c r="AA14" s="478"/>
      <c r="AB14" s="478"/>
      <c r="AC14" s="478"/>
      <c r="AD14" s="478"/>
      <c r="AE14" s="478"/>
      <c r="AF14" s="483"/>
      <c r="AG14" s="485"/>
      <c r="AH14" s="482"/>
      <c r="AI14" s="478"/>
      <c r="AJ14" s="478"/>
      <c r="AK14" s="478"/>
      <c r="AL14" s="478"/>
      <c r="AM14" s="478"/>
      <c r="AN14" s="478"/>
      <c r="AO14" s="478"/>
      <c r="AP14" s="478"/>
      <c r="AQ14" s="478"/>
      <c r="AR14" s="478"/>
      <c r="AS14" s="483"/>
      <c r="AT14" s="484"/>
      <c r="AU14" s="482"/>
      <c r="AV14" s="478"/>
      <c r="AW14" s="478"/>
      <c r="AX14" s="478"/>
      <c r="AY14" s="478"/>
      <c r="AZ14" s="478"/>
      <c r="BA14" s="478"/>
      <c r="BB14" s="478"/>
      <c r="BC14" s="478"/>
      <c r="BD14" s="478"/>
      <c r="BE14" s="478"/>
      <c r="BF14" s="483"/>
      <c r="BG14" s="485"/>
      <c r="BH14" s="482"/>
      <c r="BI14" s="478"/>
      <c r="BJ14" s="478"/>
      <c r="BK14" s="478"/>
      <c r="BL14" s="478"/>
      <c r="BM14" s="478"/>
      <c r="BN14" s="478"/>
      <c r="BO14" s="478"/>
      <c r="BP14" s="478"/>
      <c r="BQ14" s="478"/>
      <c r="BR14" s="478"/>
      <c r="BS14" s="483"/>
      <c r="BT14" s="485"/>
      <c r="BU14" s="482"/>
      <c r="BV14" s="478"/>
      <c r="BW14" s="478"/>
      <c r="BX14" s="478"/>
      <c r="BY14" s="478"/>
      <c r="BZ14" s="478"/>
      <c r="CA14" s="478"/>
      <c r="CB14" s="478"/>
      <c r="CC14" s="478"/>
      <c r="CD14" s="478"/>
      <c r="CE14" s="478"/>
      <c r="CF14" s="483"/>
      <c r="CG14" s="485"/>
      <c r="CH14" s="482"/>
      <c r="CI14" s="478"/>
      <c r="CJ14" s="478"/>
      <c r="CK14" s="478"/>
      <c r="CL14" s="478"/>
      <c r="CM14" s="478"/>
      <c r="CN14" s="478"/>
      <c r="CO14" s="478"/>
      <c r="CP14" s="478"/>
      <c r="CQ14" s="478"/>
      <c r="CR14" s="478"/>
      <c r="CS14" s="483"/>
      <c r="CT14" s="485"/>
      <c r="CU14" s="486"/>
      <c r="CV14" s="487"/>
      <c r="CW14" s="488"/>
      <c r="CX14" s="462"/>
    </row>
    <row r="15" spans="1:105" s="411" customFormat="1" ht="18" customHeight="1" x14ac:dyDescent="0.2">
      <c r="A15" s="489" t="s">
        <v>531</v>
      </c>
      <c r="B15" s="674">
        <f>SUM('Datu ievade'!B58:H59)</f>
        <v>70315</v>
      </c>
      <c r="C15" s="479">
        <f>B15/$B$19</f>
        <v>0.91081606217616584</v>
      </c>
      <c r="D15" s="490"/>
      <c r="E15" s="481"/>
      <c r="F15" s="490"/>
      <c r="G15" s="481"/>
      <c r="H15" s="333"/>
      <c r="I15" s="333"/>
      <c r="J15" s="333"/>
      <c r="K15" s="333"/>
      <c r="L15" s="334"/>
      <c r="M15" s="333"/>
      <c r="N15" s="334"/>
      <c r="O15" s="333"/>
      <c r="P15" s="333"/>
      <c r="Q15" s="333"/>
      <c r="R15" s="333"/>
      <c r="S15" s="335"/>
      <c r="T15" s="491">
        <f t="shared" ref="T15:T19" si="8">SUM(H15:S15)</f>
        <v>0</v>
      </c>
      <c r="U15" s="333"/>
      <c r="V15" s="333"/>
      <c r="W15" s="333"/>
      <c r="X15" s="333"/>
      <c r="Y15" s="333"/>
      <c r="Z15" s="333"/>
      <c r="AA15" s="333"/>
      <c r="AB15" s="333"/>
      <c r="AC15" s="333"/>
      <c r="AD15" s="333"/>
      <c r="AE15" s="333"/>
      <c r="AF15" s="335"/>
      <c r="AG15" s="409">
        <f t="shared" ref="AG15:AG19" si="9">SUM(U15:AF15)</f>
        <v>0</v>
      </c>
      <c r="AH15" s="333"/>
      <c r="AI15" s="333"/>
      <c r="AJ15" s="333"/>
      <c r="AK15" s="333"/>
      <c r="AL15" s="333"/>
      <c r="AM15" s="333"/>
      <c r="AN15" s="333"/>
      <c r="AO15" s="333"/>
      <c r="AP15" s="333"/>
      <c r="AQ15" s="333"/>
      <c r="AR15" s="333"/>
      <c r="AS15" s="335"/>
      <c r="AT15" s="491">
        <f t="shared" ref="AT15:AT19" si="10">SUM(AH15:AS15)</f>
        <v>0</v>
      </c>
      <c r="AU15" s="333"/>
      <c r="AV15" s="333"/>
      <c r="AW15" s="333"/>
      <c r="AX15" s="333"/>
      <c r="AY15" s="333"/>
      <c r="AZ15" s="333"/>
      <c r="BA15" s="333"/>
      <c r="BB15" s="333"/>
      <c r="BC15" s="333"/>
      <c r="BD15" s="333"/>
      <c r="BE15" s="333"/>
      <c r="BF15" s="335"/>
      <c r="BG15" s="409">
        <f t="shared" ref="BG15:BG19" si="11">SUM(AU15:BF15)</f>
        <v>0</v>
      </c>
      <c r="BH15" s="333"/>
      <c r="BI15" s="333"/>
      <c r="BJ15" s="333"/>
      <c r="BK15" s="333"/>
      <c r="BL15" s="333"/>
      <c r="BM15" s="333"/>
      <c r="BN15" s="333"/>
      <c r="BO15" s="333"/>
      <c r="BP15" s="333"/>
      <c r="BQ15" s="333"/>
      <c r="BR15" s="333"/>
      <c r="BS15" s="335"/>
      <c r="BT15" s="409">
        <f t="shared" ref="BT15:BT19" si="12">SUM(BH15:BS15)</f>
        <v>0</v>
      </c>
      <c r="BU15" s="333"/>
      <c r="BV15" s="333"/>
      <c r="BW15" s="333"/>
      <c r="BX15" s="333"/>
      <c r="BY15" s="333"/>
      <c r="BZ15" s="333"/>
      <c r="CA15" s="333"/>
      <c r="CB15" s="333"/>
      <c r="CC15" s="333"/>
      <c r="CD15" s="333"/>
      <c r="CE15" s="333"/>
      <c r="CF15" s="335"/>
      <c r="CG15" s="409">
        <f t="shared" ref="CG15:CG19" si="13">SUM(BU15:CF15)</f>
        <v>0</v>
      </c>
      <c r="CH15" s="333"/>
      <c r="CI15" s="333"/>
      <c r="CJ15" s="333"/>
      <c r="CK15" s="333"/>
      <c r="CL15" s="333"/>
      <c r="CM15" s="333"/>
      <c r="CN15" s="333"/>
      <c r="CO15" s="333"/>
      <c r="CP15" s="333"/>
      <c r="CQ15" s="333"/>
      <c r="CR15" s="333"/>
      <c r="CS15" s="335"/>
      <c r="CT15" s="409">
        <f t="shared" ref="CT15:CT19" si="14">SUM(CH15:CS15)</f>
        <v>0</v>
      </c>
      <c r="CU15" s="486"/>
      <c r="CV15" s="460">
        <f t="shared" ref="CV15:CV18" si="15">T15+AG15+AT15+BG15+BT15+CG15+CT15</f>
        <v>0</v>
      </c>
      <c r="CW15" s="488" t="e">
        <f>CV15/$CV$19</f>
        <v>#DIV/0!</v>
      </c>
      <c r="CX15" s="462"/>
    </row>
    <row r="16" spans="1:105" s="411" customFormat="1" ht="18" customHeight="1" x14ac:dyDescent="0.2">
      <c r="A16" s="489" t="s">
        <v>532</v>
      </c>
      <c r="B16" s="674">
        <f>SUM('Datu ievade'!B60:H60)</f>
        <v>1785</v>
      </c>
      <c r="C16" s="479">
        <f>B16/$B$19</f>
        <v>2.3121761658031089E-2</v>
      </c>
      <c r="D16" s="490"/>
      <c r="E16" s="481"/>
      <c r="F16" s="490"/>
      <c r="G16" s="481"/>
      <c r="H16" s="333"/>
      <c r="I16" s="333"/>
      <c r="J16" s="333"/>
      <c r="K16" s="333"/>
      <c r="L16" s="334"/>
      <c r="M16" s="333"/>
      <c r="N16" s="334"/>
      <c r="O16" s="333"/>
      <c r="P16" s="333"/>
      <c r="Q16" s="333"/>
      <c r="R16" s="333"/>
      <c r="S16" s="335"/>
      <c r="T16" s="491">
        <f t="shared" si="8"/>
        <v>0</v>
      </c>
      <c r="U16" s="333"/>
      <c r="V16" s="333"/>
      <c r="W16" s="333"/>
      <c r="X16" s="333"/>
      <c r="Y16" s="333"/>
      <c r="Z16" s="333"/>
      <c r="AA16" s="333"/>
      <c r="AB16" s="333"/>
      <c r="AC16" s="333"/>
      <c r="AD16" s="333"/>
      <c r="AE16" s="333"/>
      <c r="AF16" s="335"/>
      <c r="AG16" s="409">
        <f t="shared" si="9"/>
        <v>0</v>
      </c>
      <c r="AH16" s="333"/>
      <c r="AI16" s="333"/>
      <c r="AJ16" s="333"/>
      <c r="AK16" s="333"/>
      <c r="AL16" s="333"/>
      <c r="AM16" s="333"/>
      <c r="AN16" s="333"/>
      <c r="AO16" s="333"/>
      <c r="AP16" s="333"/>
      <c r="AQ16" s="333"/>
      <c r="AR16" s="333"/>
      <c r="AS16" s="335"/>
      <c r="AT16" s="491">
        <f t="shared" si="10"/>
        <v>0</v>
      </c>
      <c r="AU16" s="333"/>
      <c r="AV16" s="333"/>
      <c r="AW16" s="333"/>
      <c r="AX16" s="333"/>
      <c r="AY16" s="333"/>
      <c r="AZ16" s="333"/>
      <c r="BA16" s="333"/>
      <c r="BB16" s="333"/>
      <c r="BC16" s="333"/>
      <c r="BD16" s="333"/>
      <c r="BE16" s="333"/>
      <c r="BF16" s="335"/>
      <c r="BG16" s="409">
        <f t="shared" si="11"/>
        <v>0</v>
      </c>
      <c r="BH16" s="333"/>
      <c r="BI16" s="333"/>
      <c r="BJ16" s="333"/>
      <c r="BK16" s="333"/>
      <c r="BL16" s="333"/>
      <c r="BM16" s="333"/>
      <c r="BN16" s="333"/>
      <c r="BO16" s="333"/>
      <c r="BP16" s="333"/>
      <c r="BQ16" s="333"/>
      <c r="BR16" s="333"/>
      <c r="BS16" s="335"/>
      <c r="BT16" s="409">
        <f t="shared" si="12"/>
        <v>0</v>
      </c>
      <c r="BU16" s="333"/>
      <c r="BV16" s="333"/>
      <c r="BW16" s="333"/>
      <c r="BX16" s="333"/>
      <c r="BY16" s="333"/>
      <c r="BZ16" s="333"/>
      <c r="CA16" s="333"/>
      <c r="CB16" s="333"/>
      <c r="CC16" s="333"/>
      <c r="CD16" s="333"/>
      <c r="CE16" s="333"/>
      <c r="CF16" s="335"/>
      <c r="CG16" s="409">
        <f t="shared" si="13"/>
        <v>0</v>
      </c>
      <c r="CH16" s="333"/>
      <c r="CI16" s="333"/>
      <c r="CJ16" s="333"/>
      <c r="CK16" s="333"/>
      <c r="CL16" s="333"/>
      <c r="CM16" s="333"/>
      <c r="CN16" s="333"/>
      <c r="CO16" s="333"/>
      <c r="CP16" s="333"/>
      <c r="CQ16" s="333"/>
      <c r="CR16" s="333"/>
      <c r="CS16" s="335"/>
      <c r="CT16" s="409">
        <f t="shared" si="14"/>
        <v>0</v>
      </c>
      <c r="CU16" s="486"/>
      <c r="CV16" s="460">
        <f t="shared" si="15"/>
        <v>0</v>
      </c>
      <c r="CW16" s="488" t="e">
        <f>CV16/$CV$19</f>
        <v>#DIV/0!</v>
      </c>
      <c r="CX16" s="462"/>
    </row>
    <row r="17" spans="1:102" s="411" customFormat="1" ht="18" customHeight="1" x14ac:dyDescent="0.2">
      <c r="A17" s="489" t="s">
        <v>538</v>
      </c>
      <c r="B17" s="674">
        <f>SUM('Datu ievade'!B62:H62)</f>
        <v>0</v>
      </c>
      <c r="C17" s="479">
        <f>B17/$B$19</f>
        <v>0</v>
      </c>
      <c r="D17" s="490"/>
      <c r="E17" s="481"/>
      <c r="F17" s="490"/>
      <c r="G17" s="481"/>
      <c r="H17" s="333"/>
      <c r="I17" s="333"/>
      <c r="J17" s="333"/>
      <c r="K17" s="333"/>
      <c r="L17" s="334"/>
      <c r="M17" s="333"/>
      <c r="N17" s="334"/>
      <c r="O17" s="333"/>
      <c r="P17" s="333"/>
      <c r="Q17" s="333"/>
      <c r="R17" s="333"/>
      <c r="S17" s="335"/>
      <c r="T17" s="491">
        <f t="shared" si="8"/>
        <v>0</v>
      </c>
      <c r="U17" s="333"/>
      <c r="V17" s="333"/>
      <c r="W17" s="333"/>
      <c r="X17" s="333"/>
      <c r="Y17" s="333"/>
      <c r="Z17" s="333"/>
      <c r="AA17" s="333"/>
      <c r="AB17" s="333"/>
      <c r="AC17" s="333"/>
      <c r="AD17" s="333"/>
      <c r="AE17" s="333"/>
      <c r="AF17" s="335"/>
      <c r="AG17" s="409">
        <f t="shared" si="9"/>
        <v>0</v>
      </c>
      <c r="AH17" s="333"/>
      <c r="AI17" s="333"/>
      <c r="AJ17" s="333"/>
      <c r="AK17" s="333"/>
      <c r="AL17" s="333"/>
      <c r="AM17" s="333"/>
      <c r="AN17" s="333"/>
      <c r="AO17" s="333"/>
      <c r="AP17" s="333"/>
      <c r="AQ17" s="333"/>
      <c r="AR17" s="333"/>
      <c r="AS17" s="335"/>
      <c r="AT17" s="491">
        <f t="shared" si="10"/>
        <v>0</v>
      </c>
      <c r="AU17" s="333"/>
      <c r="AV17" s="333"/>
      <c r="AW17" s="333"/>
      <c r="AX17" s="333"/>
      <c r="AY17" s="333"/>
      <c r="AZ17" s="333"/>
      <c r="BA17" s="333"/>
      <c r="BB17" s="333"/>
      <c r="BC17" s="333"/>
      <c r="BD17" s="333"/>
      <c r="BE17" s="333"/>
      <c r="BF17" s="335"/>
      <c r="BG17" s="409">
        <f t="shared" si="11"/>
        <v>0</v>
      </c>
      <c r="BH17" s="333"/>
      <c r="BI17" s="333"/>
      <c r="BJ17" s="333"/>
      <c r="BK17" s="333"/>
      <c r="BL17" s="333"/>
      <c r="BM17" s="333"/>
      <c r="BN17" s="333"/>
      <c r="BO17" s="333"/>
      <c r="BP17" s="333"/>
      <c r="BQ17" s="333"/>
      <c r="BR17" s="333"/>
      <c r="BS17" s="335"/>
      <c r="BT17" s="409">
        <f t="shared" si="12"/>
        <v>0</v>
      </c>
      <c r="BU17" s="333"/>
      <c r="BV17" s="333"/>
      <c r="BW17" s="333"/>
      <c r="BX17" s="333"/>
      <c r="BY17" s="333"/>
      <c r="BZ17" s="333"/>
      <c r="CA17" s="333"/>
      <c r="CB17" s="333"/>
      <c r="CC17" s="333"/>
      <c r="CD17" s="333"/>
      <c r="CE17" s="333"/>
      <c r="CF17" s="335"/>
      <c r="CG17" s="409">
        <f t="shared" si="13"/>
        <v>0</v>
      </c>
      <c r="CH17" s="333"/>
      <c r="CI17" s="333"/>
      <c r="CJ17" s="333"/>
      <c r="CK17" s="333"/>
      <c r="CL17" s="333"/>
      <c r="CM17" s="333"/>
      <c r="CN17" s="333"/>
      <c r="CO17" s="333"/>
      <c r="CP17" s="333"/>
      <c r="CQ17" s="333"/>
      <c r="CR17" s="333"/>
      <c r="CS17" s="335"/>
      <c r="CT17" s="409">
        <f t="shared" si="14"/>
        <v>0</v>
      </c>
      <c r="CU17" s="486"/>
      <c r="CV17" s="460">
        <f t="shared" si="15"/>
        <v>0</v>
      </c>
      <c r="CW17" s="488" t="e">
        <f>CV17/$CV$19</f>
        <v>#DIV/0!</v>
      </c>
      <c r="CX17" s="462"/>
    </row>
    <row r="18" spans="1:102" s="411" customFormat="1" ht="18" customHeight="1" thickBot="1" x14ac:dyDescent="0.25">
      <c r="A18" s="489" t="s">
        <v>533</v>
      </c>
      <c r="B18" s="674">
        <f>SUM('Datu ievade'!B61:H61)</f>
        <v>5100</v>
      </c>
      <c r="C18" s="479">
        <f>B18/$B$19</f>
        <v>6.6062176165803108E-2</v>
      </c>
      <c r="D18" s="490"/>
      <c r="E18" s="481"/>
      <c r="F18" s="490"/>
      <c r="G18" s="481"/>
      <c r="H18" s="333"/>
      <c r="I18" s="333"/>
      <c r="J18" s="333"/>
      <c r="K18" s="333"/>
      <c r="L18" s="336"/>
      <c r="M18" s="333"/>
      <c r="N18" s="336"/>
      <c r="O18" s="333"/>
      <c r="P18" s="333"/>
      <c r="Q18" s="333"/>
      <c r="R18" s="333"/>
      <c r="S18" s="335"/>
      <c r="T18" s="491">
        <f t="shared" si="8"/>
        <v>0</v>
      </c>
      <c r="U18" s="333"/>
      <c r="V18" s="333"/>
      <c r="W18" s="333"/>
      <c r="X18" s="333"/>
      <c r="Y18" s="333"/>
      <c r="Z18" s="333"/>
      <c r="AA18" s="333"/>
      <c r="AB18" s="333"/>
      <c r="AC18" s="333"/>
      <c r="AD18" s="333"/>
      <c r="AE18" s="333"/>
      <c r="AF18" s="335"/>
      <c r="AG18" s="409">
        <f t="shared" si="9"/>
        <v>0</v>
      </c>
      <c r="AH18" s="333"/>
      <c r="AI18" s="333"/>
      <c r="AJ18" s="333"/>
      <c r="AK18" s="333"/>
      <c r="AL18" s="333"/>
      <c r="AM18" s="333"/>
      <c r="AN18" s="333"/>
      <c r="AO18" s="333"/>
      <c r="AP18" s="333"/>
      <c r="AQ18" s="333"/>
      <c r="AR18" s="333"/>
      <c r="AS18" s="335"/>
      <c r="AT18" s="491">
        <f t="shared" si="10"/>
        <v>0</v>
      </c>
      <c r="AU18" s="333"/>
      <c r="AV18" s="333"/>
      <c r="AW18" s="333"/>
      <c r="AX18" s="333"/>
      <c r="AY18" s="333"/>
      <c r="AZ18" s="333"/>
      <c r="BA18" s="333"/>
      <c r="BB18" s="333"/>
      <c r="BC18" s="333"/>
      <c r="BD18" s="333"/>
      <c r="BE18" s="333"/>
      <c r="BF18" s="335"/>
      <c r="BG18" s="409">
        <f t="shared" si="11"/>
        <v>0</v>
      </c>
      <c r="BH18" s="333"/>
      <c r="BI18" s="333"/>
      <c r="BJ18" s="333"/>
      <c r="BK18" s="333"/>
      <c r="BL18" s="333"/>
      <c r="BM18" s="333"/>
      <c r="BN18" s="333"/>
      <c r="BO18" s="333"/>
      <c r="BP18" s="333"/>
      <c r="BQ18" s="333"/>
      <c r="BR18" s="333"/>
      <c r="BS18" s="335"/>
      <c r="BT18" s="409">
        <f t="shared" si="12"/>
        <v>0</v>
      </c>
      <c r="BU18" s="333"/>
      <c r="BV18" s="333"/>
      <c r="BW18" s="333"/>
      <c r="BX18" s="333"/>
      <c r="BY18" s="333"/>
      <c r="BZ18" s="333"/>
      <c r="CA18" s="333"/>
      <c r="CB18" s="333"/>
      <c r="CC18" s="333"/>
      <c r="CD18" s="333"/>
      <c r="CE18" s="333"/>
      <c r="CF18" s="335"/>
      <c r="CG18" s="409">
        <f t="shared" si="13"/>
        <v>0</v>
      </c>
      <c r="CH18" s="333"/>
      <c r="CI18" s="333"/>
      <c r="CJ18" s="333"/>
      <c r="CK18" s="333"/>
      <c r="CL18" s="333"/>
      <c r="CM18" s="333"/>
      <c r="CN18" s="333"/>
      <c r="CO18" s="333"/>
      <c r="CP18" s="333"/>
      <c r="CQ18" s="333"/>
      <c r="CR18" s="333"/>
      <c r="CS18" s="335"/>
      <c r="CT18" s="409">
        <f t="shared" si="14"/>
        <v>0</v>
      </c>
      <c r="CU18" s="486"/>
      <c r="CV18" s="460">
        <f t="shared" si="15"/>
        <v>0</v>
      </c>
      <c r="CW18" s="488" t="e">
        <f>CV18/$CV$19</f>
        <v>#DIV/0!</v>
      </c>
      <c r="CX18" s="462"/>
    </row>
    <row r="19" spans="1:102" s="410" customFormat="1" ht="19.5" customHeight="1" thickBot="1" x14ac:dyDescent="0.25">
      <c r="A19" s="467" t="s">
        <v>428</v>
      </c>
      <c r="B19" s="675">
        <f>SUM(B15:B18)</f>
        <v>77200</v>
      </c>
      <c r="C19" s="468">
        <f>SUM(C15:C18)</f>
        <v>1</v>
      </c>
      <c r="D19" s="492"/>
      <c r="E19" s="493"/>
      <c r="F19" s="492"/>
      <c r="G19" s="493"/>
      <c r="H19" s="471">
        <f t="shared" ref="H19:S19" si="16">SUM(H15:H18)</f>
        <v>0</v>
      </c>
      <c r="I19" s="471">
        <f t="shared" si="16"/>
        <v>0</v>
      </c>
      <c r="J19" s="471">
        <f t="shared" si="16"/>
        <v>0</v>
      </c>
      <c r="K19" s="471">
        <f t="shared" si="16"/>
        <v>0</v>
      </c>
      <c r="L19" s="471">
        <f t="shared" si="16"/>
        <v>0</v>
      </c>
      <c r="M19" s="471">
        <f t="shared" si="16"/>
        <v>0</v>
      </c>
      <c r="N19" s="471">
        <f t="shared" si="16"/>
        <v>0</v>
      </c>
      <c r="O19" s="471">
        <f t="shared" si="16"/>
        <v>0</v>
      </c>
      <c r="P19" s="471">
        <f t="shared" si="16"/>
        <v>0</v>
      </c>
      <c r="Q19" s="471">
        <f t="shared" si="16"/>
        <v>0</v>
      </c>
      <c r="R19" s="471">
        <f t="shared" si="16"/>
        <v>0</v>
      </c>
      <c r="S19" s="471">
        <f t="shared" si="16"/>
        <v>0</v>
      </c>
      <c r="T19" s="473">
        <f t="shared" si="8"/>
        <v>0</v>
      </c>
      <c r="U19" s="474">
        <f t="shared" ref="U19:AF19" si="17">SUM(U15:U18)</f>
        <v>0</v>
      </c>
      <c r="V19" s="474">
        <f t="shared" si="17"/>
        <v>0</v>
      </c>
      <c r="W19" s="474">
        <f t="shared" si="17"/>
        <v>0</v>
      </c>
      <c r="X19" s="474">
        <f t="shared" si="17"/>
        <v>0</v>
      </c>
      <c r="Y19" s="474">
        <f t="shared" si="17"/>
        <v>0</v>
      </c>
      <c r="Z19" s="474">
        <f t="shared" si="17"/>
        <v>0</v>
      </c>
      <c r="AA19" s="474">
        <f t="shared" si="17"/>
        <v>0</v>
      </c>
      <c r="AB19" s="474">
        <f t="shared" si="17"/>
        <v>0</v>
      </c>
      <c r="AC19" s="474">
        <f t="shared" si="17"/>
        <v>0</v>
      </c>
      <c r="AD19" s="474">
        <f t="shared" si="17"/>
        <v>0</v>
      </c>
      <c r="AE19" s="474">
        <f t="shared" si="17"/>
        <v>0</v>
      </c>
      <c r="AF19" s="474">
        <f t="shared" si="17"/>
        <v>0</v>
      </c>
      <c r="AG19" s="473">
        <f t="shared" si="9"/>
        <v>0</v>
      </c>
      <c r="AH19" s="474">
        <f t="shared" ref="AH19:AS19" si="18">SUM(AH15:AH18)</f>
        <v>0</v>
      </c>
      <c r="AI19" s="474">
        <f t="shared" si="18"/>
        <v>0</v>
      </c>
      <c r="AJ19" s="474">
        <f t="shared" si="18"/>
        <v>0</v>
      </c>
      <c r="AK19" s="474">
        <f t="shared" si="18"/>
        <v>0</v>
      </c>
      <c r="AL19" s="474">
        <f t="shared" si="18"/>
        <v>0</v>
      </c>
      <c r="AM19" s="474">
        <f t="shared" si="18"/>
        <v>0</v>
      </c>
      <c r="AN19" s="474">
        <f t="shared" si="18"/>
        <v>0</v>
      </c>
      <c r="AO19" s="474">
        <f t="shared" si="18"/>
        <v>0</v>
      </c>
      <c r="AP19" s="474">
        <f t="shared" si="18"/>
        <v>0</v>
      </c>
      <c r="AQ19" s="474">
        <f t="shared" si="18"/>
        <v>0</v>
      </c>
      <c r="AR19" s="474">
        <f t="shared" si="18"/>
        <v>0</v>
      </c>
      <c r="AS19" s="474">
        <f t="shared" si="18"/>
        <v>0</v>
      </c>
      <c r="AT19" s="473">
        <f t="shared" si="10"/>
        <v>0</v>
      </c>
      <c r="AU19" s="474">
        <f t="shared" ref="AU19:BF19" si="19">SUM(AU15:AU18)</f>
        <v>0</v>
      </c>
      <c r="AV19" s="474">
        <f t="shared" si="19"/>
        <v>0</v>
      </c>
      <c r="AW19" s="474">
        <f t="shared" si="19"/>
        <v>0</v>
      </c>
      <c r="AX19" s="474">
        <f t="shared" si="19"/>
        <v>0</v>
      </c>
      <c r="AY19" s="474">
        <f t="shared" si="19"/>
        <v>0</v>
      </c>
      <c r="AZ19" s="474">
        <f t="shared" si="19"/>
        <v>0</v>
      </c>
      <c r="BA19" s="474">
        <f t="shared" si="19"/>
        <v>0</v>
      </c>
      <c r="BB19" s="474">
        <f t="shared" si="19"/>
        <v>0</v>
      </c>
      <c r="BC19" s="474">
        <f t="shared" si="19"/>
        <v>0</v>
      </c>
      <c r="BD19" s="474">
        <f t="shared" si="19"/>
        <v>0</v>
      </c>
      <c r="BE19" s="474">
        <f t="shared" si="19"/>
        <v>0</v>
      </c>
      <c r="BF19" s="474">
        <f t="shared" si="19"/>
        <v>0</v>
      </c>
      <c r="BG19" s="473">
        <f t="shared" si="11"/>
        <v>0</v>
      </c>
      <c r="BH19" s="474">
        <f t="shared" ref="BH19:BS19" si="20">SUM(BH15:BH18)</f>
        <v>0</v>
      </c>
      <c r="BI19" s="474">
        <f t="shared" si="20"/>
        <v>0</v>
      </c>
      <c r="BJ19" s="474">
        <f t="shared" si="20"/>
        <v>0</v>
      </c>
      <c r="BK19" s="474">
        <f t="shared" si="20"/>
        <v>0</v>
      </c>
      <c r="BL19" s="474">
        <f t="shared" si="20"/>
        <v>0</v>
      </c>
      <c r="BM19" s="474">
        <f t="shared" si="20"/>
        <v>0</v>
      </c>
      <c r="BN19" s="474">
        <f t="shared" si="20"/>
        <v>0</v>
      </c>
      <c r="BO19" s="474">
        <f t="shared" si="20"/>
        <v>0</v>
      </c>
      <c r="BP19" s="474">
        <f t="shared" si="20"/>
        <v>0</v>
      </c>
      <c r="BQ19" s="474">
        <f t="shared" si="20"/>
        <v>0</v>
      </c>
      <c r="BR19" s="474">
        <f t="shared" si="20"/>
        <v>0</v>
      </c>
      <c r="BS19" s="474">
        <f t="shared" si="20"/>
        <v>0</v>
      </c>
      <c r="BT19" s="473">
        <f t="shared" si="12"/>
        <v>0</v>
      </c>
      <c r="BU19" s="474">
        <f t="shared" ref="BU19:CF19" si="21">SUM(BU15:BU18)</f>
        <v>0</v>
      </c>
      <c r="BV19" s="474">
        <f t="shared" si="21"/>
        <v>0</v>
      </c>
      <c r="BW19" s="474">
        <f t="shared" si="21"/>
        <v>0</v>
      </c>
      <c r="BX19" s="474">
        <f t="shared" si="21"/>
        <v>0</v>
      </c>
      <c r="BY19" s="474">
        <f t="shared" si="21"/>
        <v>0</v>
      </c>
      <c r="BZ19" s="474">
        <f t="shared" si="21"/>
        <v>0</v>
      </c>
      <c r="CA19" s="474">
        <f t="shared" si="21"/>
        <v>0</v>
      </c>
      <c r="CB19" s="474">
        <f t="shared" si="21"/>
        <v>0</v>
      </c>
      <c r="CC19" s="474">
        <f t="shared" si="21"/>
        <v>0</v>
      </c>
      <c r="CD19" s="474">
        <f t="shared" si="21"/>
        <v>0</v>
      </c>
      <c r="CE19" s="474">
        <f t="shared" si="21"/>
        <v>0</v>
      </c>
      <c r="CF19" s="474">
        <f t="shared" si="21"/>
        <v>0</v>
      </c>
      <c r="CG19" s="473">
        <f t="shared" si="13"/>
        <v>0</v>
      </c>
      <c r="CH19" s="474">
        <f t="shared" ref="CH19:CS19" si="22">SUM(CH15:CH18)</f>
        <v>0</v>
      </c>
      <c r="CI19" s="474">
        <f t="shared" si="22"/>
        <v>0</v>
      </c>
      <c r="CJ19" s="474">
        <f t="shared" si="22"/>
        <v>0</v>
      </c>
      <c r="CK19" s="474">
        <f t="shared" si="22"/>
        <v>0</v>
      </c>
      <c r="CL19" s="474">
        <f t="shared" si="22"/>
        <v>0</v>
      </c>
      <c r="CM19" s="474">
        <f t="shared" si="22"/>
        <v>0</v>
      </c>
      <c r="CN19" s="474">
        <f t="shared" si="22"/>
        <v>0</v>
      </c>
      <c r="CO19" s="474">
        <f t="shared" si="22"/>
        <v>0</v>
      </c>
      <c r="CP19" s="474">
        <f t="shared" si="22"/>
        <v>0</v>
      </c>
      <c r="CQ19" s="474">
        <f t="shared" si="22"/>
        <v>0</v>
      </c>
      <c r="CR19" s="474">
        <f t="shared" si="22"/>
        <v>0</v>
      </c>
      <c r="CS19" s="474">
        <f t="shared" si="22"/>
        <v>0</v>
      </c>
      <c r="CT19" s="473">
        <f t="shared" si="14"/>
        <v>0</v>
      </c>
      <c r="CU19" s="475"/>
      <c r="CV19" s="492">
        <f>SUM(CV15:CV18)</f>
        <v>0</v>
      </c>
      <c r="CW19" s="494" t="e">
        <f>SUM(CW15:CW18)</f>
        <v>#DIV/0!</v>
      </c>
      <c r="CX19" s="462"/>
    </row>
    <row r="20" spans="1:102" s="505" customFormat="1" ht="19.5" customHeight="1" thickBot="1" x14ac:dyDescent="0.3">
      <c r="A20" s="495" t="s">
        <v>536</v>
      </c>
      <c r="B20" s="676">
        <f>B13-B19</f>
        <v>265211.84999999998</v>
      </c>
      <c r="C20" s="496"/>
      <c r="D20" s="497"/>
      <c r="E20" s="498"/>
      <c r="F20" s="497"/>
      <c r="G20" s="498"/>
      <c r="H20" s="499">
        <f>H13-H19+H25</f>
        <v>0</v>
      </c>
      <c r="I20" s="499">
        <f t="shared" ref="I20:S20" si="23">H20+I25+I13-I19</f>
        <v>0</v>
      </c>
      <c r="J20" s="499">
        <f t="shared" si="23"/>
        <v>0</v>
      </c>
      <c r="K20" s="499">
        <f t="shared" si="23"/>
        <v>0</v>
      </c>
      <c r="L20" s="499">
        <f t="shared" ref="L20" si="24">K20+L25+L13-L19</f>
        <v>0</v>
      </c>
      <c r="M20" s="499">
        <f t="shared" ref="M20" si="25">L20+M25+M13-M19</f>
        <v>0</v>
      </c>
      <c r="N20" s="499">
        <f t="shared" si="23"/>
        <v>0</v>
      </c>
      <c r="O20" s="499">
        <f t="shared" si="23"/>
        <v>0</v>
      </c>
      <c r="P20" s="499">
        <f t="shared" si="23"/>
        <v>0</v>
      </c>
      <c r="Q20" s="499">
        <f t="shared" si="23"/>
        <v>0</v>
      </c>
      <c r="R20" s="499">
        <f t="shared" si="23"/>
        <v>0</v>
      </c>
      <c r="S20" s="500">
        <f t="shared" si="23"/>
        <v>0</v>
      </c>
      <c r="T20" s="501">
        <f>S20</f>
        <v>0</v>
      </c>
      <c r="U20" s="502">
        <f>S20+U25+U13-U19</f>
        <v>0</v>
      </c>
      <c r="V20" s="499">
        <f t="shared" ref="V20:AF20" si="26">U20+V25+V13-V19</f>
        <v>0</v>
      </c>
      <c r="W20" s="499">
        <f t="shared" si="26"/>
        <v>0</v>
      </c>
      <c r="X20" s="499">
        <f t="shared" si="26"/>
        <v>0</v>
      </c>
      <c r="Y20" s="499">
        <f t="shared" si="26"/>
        <v>0</v>
      </c>
      <c r="Z20" s="499">
        <f t="shared" si="26"/>
        <v>0</v>
      </c>
      <c r="AA20" s="499">
        <f t="shared" si="26"/>
        <v>0</v>
      </c>
      <c r="AB20" s="499">
        <f t="shared" si="26"/>
        <v>0</v>
      </c>
      <c r="AC20" s="499">
        <f t="shared" si="26"/>
        <v>0</v>
      </c>
      <c r="AD20" s="499">
        <f t="shared" si="26"/>
        <v>0</v>
      </c>
      <c r="AE20" s="499">
        <f t="shared" si="26"/>
        <v>0</v>
      </c>
      <c r="AF20" s="500">
        <f t="shared" si="26"/>
        <v>0</v>
      </c>
      <c r="AG20" s="501">
        <f>AF20</f>
        <v>0</v>
      </c>
      <c r="AH20" s="502">
        <f t="shared" ref="AH20:AS20" si="27">AG20+AH25+AH13-AH19</f>
        <v>0</v>
      </c>
      <c r="AI20" s="499">
        <f t="shared" si="27"/>
        <v>0</v>
      </c>
      <c r="AJ20" s="499">
        <f t="shared" si="27"/>
        <v>0</v>
      </c>
      <c r="AK20" s="499">
        <f t="shared" si="27"/>
        <v>0</v>
      </c>
      <c r="AL20" s="499">
        <f t="shared" si="27"/>
        <v>0</v>
      </c>
      <c r="AM20" s="499">
        <f t="shared" si="27"/>
        <v>0</v>
      </c>
      <c r="AN20" s="499">
        <f t="shared" si="27"/>
        <v>0</v>
      </c>
      <c r="AO20" s="499">
        <f t="shared" si="27"/>
        <v>0</v>
      </c>
      <c r="AP20" s="499">
        <f t="shared" si="27"/>
        <v>0</v>
      </c>
      <c r="AQ20" s="499">
        <f t="shared" si="27"/>
        <v>0</v>
      </c>
      <c r="AR20" s="499">
        <f t="shared" si="27"/>
        <v>0</v>
      </c>
      <c r="AS20" s="500">
        <f t="shared" si="27"/>
        <v>0</v>
      </c>
      <c r="AT20" s="501">
        <f>AS20</f>
        <v>0</v>
      </c>
      <c r="AU20" s="502">
        <f>AS20+AU25+AU13-AU19</f>
        <v>0</v>
      </c>
      <c r="AV20" s="502">
        <f>AU20+AV25+AV13-AV19</f>
        <v>0</v>
      </c>
      <c r="AW20" s="502">
        <f t="shared" ref="AW20:BF20" si="28">AV20+AW25+AW13-AW19</f>
        <v>0</v>
      </c>
      <c r="AX20" s="502">
        <f t="shared" si="28"/>
        <v>0</v>
      </c>
      <c r="AY20" s="502">
        <f t="shared" si="28"/>
        <v>0</v>
      </c>
      <c r="AZ20" s="502">
        <f t="shared" si="28"/>
        <v>0</v>
      </c>
      <c r="BA20" s="502">
        <f t="shared" si="28"/>
        <v>0</v>
      </c>
      <c r="BB20" s="502">
        <f t="shared" si="28"/>
        <v>0</v>
      </c>
      <c r="BC20" s="502">
        <f t="shared" si="28"/>
        <v>0</v>
      </c>
      <c r="BD20" s="502">
        <f t="shared" si="28"/>
        <v>0</v>
      </c>
      <c r="BE20" s="502">
        <f t="shared" si="28"/>
        <v>0</v>
      </c>
      <c r="BF20" s="502">
        <f t="shared" si="28"/>
        <v>0</v>
      </c>
      <c r="BG20" s="501">
        <f>BF20</f>
        <v>0</v>
      </c>
      <c r="BH20" s="502">
        <f>BF20+BH25+BH13-BH19</f>
        <v>0</v>
      </c>
      <c r="BI20" s="502">
        <f>BH20+BI25+BI13-BI19</f>
        <v>0</v>
      </c>
      <c r="BJ20" s="502">
        <f t="shared" ref="BJ20:BS20" si="29">BI20+BJ25+BJ13-BJ19</f>
        <v>0</v>
      </c>
      <c r="BK20" s="502">
        <f t="shared" si="29"/>
        <v>0</v>
      </c>
      <c r="BL20" s="502">
        <f t="shared" si="29"/>
        <v>0</v>
      </c>
      <c r="BM20" s="502">
        <f t="shared" si="29"/>
        <v>0</v>
      </c>
      <c r="BN20" s="502">
        <f t="shared" si="29"/>
        <v>0</v>
      </c>
      <c r="BO20" s="502">
        <f t="shared" si="29"/>
        <v>0</v>
      </c>
      <c r="BP20" s="502">
        <f t="shared" si="29"/>
        <v>0</v>
      </c>
      <c r="BQ20" s="502">
        <f t="shared" si="29"/>
        <v>0</v>
      </c>
      <c r="BR20" s="502">
        <f t="shared" si="29"/>
        <v>0</v>
      </c>
      <c r="BS20" s="502">
        <f t="shared" si="29"/>
        <v>0</v>
      </c>
      <c r="BT20" s="501">
        <f>BS20</f>
        <v>0</v>
      </c>
      <c r="BU20" s="502">
        <f>BS20+BU25+BU13-BU19</f>
        <v>0</v>
      </c>
      <c r="BV20" s="502">
        <f>BU20+BV25+BV13-BV19</f>
        <v>0</v>
      </c>
      <c r="BW20" s="502">
        <f t="shared" ref="BW20:CF20" si="30">BV20+BW25+BW13-BW19</f>
        <v>0</v>
      </c>
      <c r="BX20" s="502">
        <f t="shared" si="30"/>
        <v>0</v>
      </c>
      <c r="BY20" s="502">
        <f t="shared" si="30"/>
        <v>0</v>
      </c>
      <c r="BZ20" s="502">
        <f t="shared" si="30"/>
        <v>0</v>
      </c>
      <c r="CA20" s="502">
        <f t="shared" si="30"/>
        <v>0</v>
      </c>
      <c r="CB20" s="502">
        <f t="shared" si="30"/>
        <v>0</v>
      </c>
      <c r="CC20" s="502">
        <f t="shared" si="30"/>
        <v>0</v>
      </c>
      <c r="CD20" s="502">
        <f t="shared" si="30"/>
        <v>0</v>
      </c>
      <c r="CE20" s="502">
        <f t="shared" si="30"/>
        <v>0</v>
      </c>
      <c r="CF20" s="502">
        <f t="shared" si="30"/>
        <v>0</v>
      </c>
      <c r="CG20" s="501">
        <f>CF20</f>
        <v>0</v>
      </c>
      <c r="CH20" s="502">
        <f>CF20+CH25+CH13-CH19</f>
        <v>0</v>
      </c>
      <c r="CI20" s="502">
        <f>CH20+CI25+CI13-CI19</f>
        <v>0</v>
      </c>
      <c r="CJ20" s="502">
        <f t="shared" ref="CJ20:CS20" si="31">CI20+CJ25+CJ13-CJ19</f>
        <v>0</v>
      </c>
      <c r="CK20" s="502">
        <f t="shared" si="31"/>
        <v>0</v>
      </c>
      <c r="CL20" s="502">
        <f t="shared" si="31"/>
        <v>0</v>
      </c>
      <c r="CM20" s="502">
        <f t="shared" si="31"/>
        <v>0</v>
      </c>
      <c r="CN20" s="502">
        <f t="shared" si="31"/>
        <v>0</v>
      </c>
      <c r="CO20" s="502">
        <f t="shared" si="31"/>
        <v>0</v>
      </c>
      <c r="CP20" s="502">
        <f t="shared" si="31"/>
        <v>0</v>
      </c>
      <c r="CQ20" s="502">
        <f t="shared" si="31"/>
        <v>0</v>
      </c>
      <c r="CR20" s="502">
        <f t="shared" si="31"/>
        <v>0</v>
      </c>
      <c r="CS20" s="502">
        <f t="shared" si="31"/>
        <v>0</v>
      </c>
      <c r="CT20" s="501">
        <f>CS20</f>
        <v>0</v>
      </c>
      <c r="CU20" s="503"/>
      <c r="CV20" s="497">
        <f>CT20</f>
        <v>0</v>
      </c>
      <c r="CW20" s="504"/>
      <c r="CX20" s="462"/>
    </row>
    <row r="21" spans="1:102" s="411" customFormat="1" ht="18" customHeight="1" x14ac:dyDescent="0.2">
      <c r="A21" s="506" t="s">
        <v>539</v>
      </c>
      <c r="B21" s="674">
        <f>SUM('Datu ievade'!B73:H73)</f>
        <v>59426.85</v>
      </c>
      <c r="C21" s="507"/>
      <c r="D21" s="490"/>
      <c r="E21" s="481"/>
      <c r="F21" s="490"/>
      <c r="G21" s="481"/>
      <c r="H21" s="337"/>
      <c r="I21" s="337"/>
      <c r="J21" s="337"/>
      <c r="K21" s="337"/>
      <c r="L21" s="337"/>
      <c r="M21" s="337"/>
      <c r="N21" s="337"/>
      <c r="O21" s="337"/>
      <c r="P21" s="337"/>
      <c r="Q21" s="337"/>
      <c r="R21" s="337"/>
      <c r="S21" s="338"/>
      <c r="T21" s="508">
        <f>SUM(H21:S21)</f>
        <v>0</v>
      </c>
      <c r="U21" s="337"/>
      <c r="V21" s="337"/>
      <c r="W21" s="337"/>
      <c r="X21" s="337"/>
      <c r="Y21" s="337"/>
      <c r="Z21" s="337"/>
      <c r="AA21" s="337"/>
      <c r="AB21" s="337"/>
      <c r="AC21" s="337"/>
      <c r="AD21" s="337"/>
      <c r="AE21" s="337"/>
      <c r="AF21" s="337"/>
      <c r="AG21" s="485">
        <f>SUM(U21:AF21)</f>
        <v>0</v>
      </c>
      <c r="AH21" s="337"/>
      <c r="AI21" s="337"/>
      <c r="AJ21" s="337"/>
      <c r="AK21" s="337"/>
      <c r="AL21" s="337"/>
      <c r="AM21" s="337"/>
      <c r="AN21" s="337"/>
      <c r="AO21" s="337"/>
      <c r="AP21" s="337"/>
      <c r="AQ21" s="337"/>
      <c r="AR21" s="337"/>
      <c r="AS21" s="338"/>
      <c r="AT21" s="508">
        <f>SUM(AH21:AS21)</f>
        <v>0</v>
      </c>
      <c r="AU21" s="337"/>
      <c r="AV21" s="337"/>
      <c r="AW21" s="337"/>
      <c r="AX21" s="337"/>
      <c r="AY21" s="337"/>
      <c r="AZ21" s="337"/>
      <c r="BA21" s="337"/>
      <c r="BB21" s="337"/>
      <c r="BC21" s="337"/>
      <c r="BD21" s="337"/>
      <c r="BE21" s="337"/>
      <c r="BF21" s="338"/>
      <c r="BG21" s="485">
        <f>SUM(AU21:BF21)</f>
        <v>0</v>
      </c>
      <c r="BH21" s="337"/>
      <c r="BI21" s="337"/>
      <c r="BJ21" s="337"/>
      <c r="BK21" s="337"/>
      <c r="BL21" s="337"/>
      <c r="BM21" s="337"/>
      <c r="BN21" s="337"/>
      <c r="BO21" s="337"/>
      <c r="BP21" s="337"/>
      <c r="BQ21" s="337"/>
      <c r="BR21" s="337"/>
      <c r="BS21" s="338"/>
      <c r="BT21" s="485">
        <f>SUM(BH21:BS21)</f>
        <v>0</v>
      </c>
      <c r="BU21" s="337"/>
      <c r="BV21" s="337"/>
      <c r="BW21" s="337"/>
      <c r="BX21" s="337"/>
      <c r="BY21" s="337"/>
      <c r="BZ21" s="337"/>
      <c r="CA21" s="337"/>
      <c r="CB21" s="337"/>
      <c r="CC21" s="337"/>
      <c r="CD21" s="337"/>
      <c r="CE21" s="337"/>
      <c r="CF21" s="338"/>
      <c r="CG21" s="485">
        <f>SUM(BU21:CF21)</f>
        <v>0</v>
      </c>
      <c r="CH21" s="337"/>
      <c r="CI21" s="337"/>
      <c r="CJ21" s="337"/>
      <c r="CK21" s="337"/>
      <c r="CL21" s="337"/>
      <c r="CM21" s="337"/>
      <c r="CN21" s="337"/>
      <c r="CO21" s="337"/>
      <c r="CP21" s="337"/>
      <c r="CQ21" s="337"/>
      <c r="CR21" s="337"/>
      <c r="CS21" s="338"/>
      <c r="CT21" s="485">
        <f>SUM(CH21:CS21)</f>
        <v>0</v>
      </c>
      <c r="CU21" s="486"/>
      <c r="CV21" s="460">
        <f t="shared" ref="CV21:CV22" si="32">T21+AG21+AT21+BG21+BT21+CG21+CT21</f>
        <v>0</v>
      </c>
      <c r="CW21" s="509"/>
      <c r="CX21" s="462"/>
    </row>
    <row r="22" spans="1:102" s="411" customFormat="1" ht="18" customHeight="1" thickBot="1" x14ac:dyDescent="0.25">
      <c r="A22" s="510" t="s">
        <v>427</v>
      </c>
      <c r="B22" s="674">
        <f>SUM('Datu ievade'!B65:H72)</f>
        <v>205785</v>
      </c>
      <c r="C22" s="511"/>
      <c r="D22" s="512"/>
      <c r="E22" s="513"/>
      <c r="F22" s="512"/>
      <c r="G22" s="513"/>
      <c r="H22" s="337"/>
      <c r="I22" s="337"/>
      <c r="J22" s="337"/>
      <c r="K22" s="337"/>
      <c r="L22" s="337"/>
      <c r="M22" s="337"/>
      <c r="N22" s="337"/>
      <c r="O22" s="337"/>
      <c r="P22" s="337"/>
      <c r="Q22" s="337"/>
      <c r="R22" s="337"/>
      <c r="S22" s="338"/>
      <c r="T22" s="508">
        <f>SUM(H22:S22)</f>
        <v>0</v>
      </c>
      <c r="U22" s="337"/>
      <c r="V22" s="347"/>
      <c r="W22" s="337"/>
      <c r="X22" s="347"/>
      <c r="Y22" s="337"/>
      <c r="Z22" s="347"/>
      <c r="AA22" s="337"/>
      <c r="AB22" s="347"/>
      <c r="AC22" s="337"/>
      <c r="AD22" s="347"/>
      <c r="AE22" s="337"/>
      <c r="AF22" s="348"/>
      <c r="AG22" s="409">
        <f>SUM(U22:AF22)</f>
        <v>0</v>
      </c>
      <c r="AH22" s="346"/>
      <c r="AI22" s="347"/>
      <c r="AJ22" s="347"/>
      <c r="AK22" s="347"/>
      <c r="AL22" s="347"/>
      <c r="AM22" s="347"/>
      <c r="AN22" s="347"/>
      <c r="AO22" s="347"/>
      <c r="AP22" s="347"/>
      <c r="AQ22" s="347"/>
      <c r="AR22" s="347"/>
      <c r="AS22" s="348"/>
      <c r="AT22" s="508">
        <f>SUM(AH22:AS22)</f>
        <v>0</v>
      </c>
      <c r="AU22" s="337"/>
      <c r="AV22" s="347"/>
      <c r="AW22" s="337"/>
      <c r="AX22" s="347"/>
      <c r="AY22" s="337"/>
      <c r="AZ22" s="347"/>
      <c r="BA22" s="337"/>
      <c r="BB22" s="347"/>
      <c r="BC22" s="337"/>
      <c r="BD22" s="347"/>
      <c r="BE22" s="337"/>
      <c r="BF22" s="348"/>
      <c r="BG22" s="409">
        <f>SUM(AU22:BF22)</f>
        <v>0</v>
      </c>
      <c r="BH22" s="337"/>
      <c r="BI22" s="347"/>
      <c r="BJ22" s="337"/>
      <c r="BK22" s="347"/>
      <c r="BL22" s="337"/>
      <c r="BM22" s="347"/>
      <c r="BN22" s="337"/>
      <c r="BO22" s="347"/>
      <c r="BP22" s="337"/>
      <c r="BQ22" s="347"/>
      <c r="BR22" s="337"/>
      <c r="BS22" s="348"/>
      <c r="BT22" s="409">
        <f>SUM(BH22:BS22)</f>
        <v>0</v>
      </c>
      <c r="BU22" s="337"/>
      <c r="BV22" s="347"/>
      <c r="BW22" s="337"/>
      <c r="BX22" s="347"/>
      <c r="BY22" s="337"/>
      <c r="BZ22" s="347"/>
      <c r="CA22" s="337"/>
      <c r="CB22" s="347"/>
      <c r="CC22" s="337"/>
      <c r="CD22" s="347"/>
      <c r="CE22" s="337"/>
      <c r="CF22" s="348"/>
      <c r="CG22" s="409">
        <f>SUM(BU22:CF22)</f>
        <v>0</v>
      </c>
      <c r="CH22" s="337"/>
      <c r="CI22" s="347"/>
      <c r="CJ22" s="337"/>
      <c r="CK22" s="347"/>
      <c r="CL22" s="337"/>
      <c r="CM22" s="347"/>
      <c r="CN22" s="337"/>
      <c r="CO22" s="347"/>
      <c r="CP22" s="337"/>
      <c r="CQ22" s="347"/>
      <c r="CR22" s="337"/>
      <c r="CS22" s="348"/>
      <c r="CT22" s="409">
        <f>SUM(CH22:CS22)</f>
        <v>0</v>
      </c>
      <c r="CU22" s="486"/>
      <c r="CV22" s="460">
        <f t="shared" si="32"/>
        <v>0</v>
      </c>
      <c r="CW22" s="514"/>
      <c r="CX22" s="462"/>
    </row>
    <row r="23" spans="1:102" s="505" customFormat="1" ht="19.5" customHeight="1" thickBot="1" x14ac:dyDescent="0.3">
      <c r="A23" s="515" t="s">
        <v>426</v>
      </c>
      <c r="B23" s="499">
        <f>B27+B13-B19-B21-B22</f>
        <v>0</v>
      </c>
      <c r="C23" s="496"/>
      <c r="D23" s="497"/>
      <c r="E23" s="498"/>
      <c r="F23" s="497"/>
      <c r="G23" s="498"/>
      <c r="H23" s="499">
        <f>H27+H13-H19-H21-H22</f>
        <v>0</v>
      </c>
      <c r="I23" s="499">
        <f t="shared" ref="I23:S23" si="33">H23+I13-I19+I27-I21-I22</f>
        <v>0</v>
      </c>
      <c r="J23" s="499">
        <f t="shared" si="33"/>
        <v>0</v>
      </c>
      <c r="K23" s="499">
        <f t="shared" si="33"/>
        <v>0</v>
      </c>
      <c r="L23" s="499">
        <f t="shared" si="33"/>
        <v>0</v>
      </c>
      <c r="M23" s="499">
        <f t="shared" si="33"/>
        <v>0</v>
      </c>
      <c r="N23" s="499">
        <f t="shared" si="33"/>
        <v>0</v>
      </c>
      <c r="O23" s="499">
        <f t="shared" si="33"/>
        <v>0</v>
      </c>
      <c r="P23" s="499">
        <f t="shared" si="33"/>
        <v>0</v>
      </c>
      <c r="Q23" s="499">
        <f t="shared" si="33"/>
        <v>0</v>
      </c>
      <c r="R23" s="499">
        <f t="shared" si="33"/>
        <v>0</v>
      </c>
      <c r="S23" s="500">
        <f t="shared" si="33"/>
        <v>0</v>
      </c>
      <c r="T23" s="501">
        <f>S23</f>
        <v>0</v>
      </c>
      <c r="U23" s="502">
        <f>S23+U27+U13-U19-U21-U22</f>
        <v>0</v>
      </c>
      <c r="V23" s="499">
        <f t="shared" ref="V23:AF23" si="34">U23+V13-V19+V27-V21-V22</f>
        <v>0</v>
      </c>
      <c r="W23" s="499">
        <f t="shared" si="34"/>
        <v>0</v>
      </c>
      <c r="X23" s="499">
        <f t="shared" si="34"/>
        <v>0</v>
      </c>
      <c r="Y23" s="499">
        <f t="shared" si="34"/>
        <v>0</v>
      </c>
      <c r="Z23" s="499">
        <f t="shared" si="34"/>
        <v>0</v>
      </c>
      <c r="AA23" s="499">
        <f t="shared" si="34"/>
        <v>0</v>
      </c>
      <c r="AB23" s="499">
        <f t="shared" si="34"/>
        <v>0</v>
      </c>
      <c r="AC23" s="499">
        <f t="shared" si="34"/>
        <v>0</v>
      </c>
      <c r="AD23" s="499">
        <f t="shared" si="34"/>
        <v>0</v>
      </c>
      <c r="AE23" s="499">
        <f t="shared" si="34"/>
        <v>0</v>
      </c>
      <c r="AF23" s="500">
        <f t="shared" si="34"/>
        <v>0</v>
      </c>
      <c r="AG23" s="501">
        <f>AF23</f>
        <v>0</v>
      </c>
      <c r="AH23" s="516">
        <f>AF23+AH27+AH13-AH19-AH21-AH22</f>
        <v>0</v>
      </c>
      <c r="AI23" s="501">
        <f t="shared" ref="AI23:AS23" si="35">AH23+AI27+AI13-AI19-AI21-AI22</f>
        <v>0</v>
      </c>
      <c r="AJ23" s="501">
        <f t="shared" si="35"/>
        <v>0</v>
      </c>
      <c r="AK23" s="501">
        <f t="shared" si="35"/>
        <v>0</v>
      </c>
      <c r="AL23" s="501">
        <f t="shared" si="35"/>
        <v>0</v>
      </c>
      <c r="AM23" s="501">
        <f t="shared" si="35"/>
        <v>0</v>
      </c>
      <c r="AN23" s="501">
        <f t="shared" si="35"/>
        <v>0</v>
      </c>
      <c r="AO23" s="501">
        <f t="shared" si="35"/>
        <v>0</v>
      </c>
      <c r="AP23" s="501">
        <f t="shared" si="35"/>
        <v>0</v>
      </c>
      <c r="AQ23" s="501">
        <f t="shared" si="35"/>
        <v>0</v>
      </c>
      <c r="AR23" s="501">
        <f t="shared" si="35"/>
        <v>0</v>
      </c>
      <c r="AS23" s="517">
        <f t="shared" si="35"/>
        <v>0</v>
      </c>
      <c r="AT23" s="501">
        <f>AS23</f>
        <v>0</v>
      </c>
      <c r="AU23" s="502">
        <f>AS23+AU27+AU13-AU19-AU21-AU22</f>
        <v>0</v>
      </c>
      <c r="AV23" s="499">
        <f t="shared" ref="AV23" si="36">AU23+AV13-AV19+AV27-AV21-AV22</f>
        <v>0</v>
      </c>
      <c r="AW23" s="499">
        <f t="shared" ref="AW23" si="37">AV23+AW13-AW19+AW27-AW21-AW22</f>
        <v>0</v>
      </c>
      <c r="AX23" s="499">
        <f t="shared" ref="AX23" si="38">AW23+AX13-AX19+AX27-AX21-AX22</f>
        <v>0</v>
      </c>
      <c r="AY23" s="499">
        <f t="shared" ref="AY23" si="39">AX23+AY13-AY19+AY27-AY21-AY22</f>
        <v>0</v>
      </c>
      <c r="AZ23" s="499">
        <f t="shared" ref="AZ23" si="40">AY23+AZ13-AZ19+AZ27-AZ21-AZ22</f>
        <v>0</v>
      </c>
      <c r="BA23" s="499">
        <f t="shared" ref="BA23" si="41">AZ23+BA13-BA19+BA27-BA21-BA22</f>
        <v>0</v>
      </c>
      <c r="BB23" s="499">
        <f t="shared" ref="BB23" si="42">BA23+BB13-BB19+BB27-BB21-BB22</f>
        <v>0</v>
      </c>
      <c r="BC23" s="499">
        <f t="shared" ref="BC23" si="43">BB23+BC13-BC19+BC27-BC21-BC22</f>
        <v>0</v>
      </c>
      <c r="BD23" s="499">
        <f t="shared" ref="BD23" si="44">BC23+BD13-BD19+BD27-BD21-BD22</f>
        <v>0</v>
      </c>
      <c r="BE23" s="499">
        <f t="shared" ref="BE23" si="45">BD23+BE13-BE19+BE27-BE21-BE22</f>
        <v>0</v>
      </c>
      <c r="BF23" s="500">
        <f t="shared" ref="BF23" si="46">BE23+BF13-BF19+BF27-BF21-BF22</f>
        <v>0</v>
      </c>
      <c r="BG23" s="501">
        <f>BF23</f>
        <v>0</v>
      </c>
      <c r="BH23" s="502">
        <f>BF23+BH27+BH13-BH19-BH21-BH22</f>
        <v>0</v>
      </c>
      <c r="BI23" s="499">
        <f t="shared" ref="BI23" si="47">BH23+BI13-BI19+BI27-BI21-BI22</f>
        <v>0</v>
      </c>
      <c r="BJ23" s="499">
        <f t="shared" ref="BJ23" si="48">BI23+BJ13-BJ19+BJ27-BJ21-BJ22</f>
        <v>0</v>
      </c>
      <c r="BK23" s="499">
        <f t="shared" ref="BK23" si="49">BJ23+BK13-BK19+BK27-BK21-BK22</f>
        <v>0</v>
      </c>
      <c r="BL23" s="499">
        <f t="shared" ref="BL23" si="50">BK23+BL13-BL19+BL27-BL21-BL22</f>
        <v>0</v>
      </c>
      <c r="BM23" s="499">
        <f t="shared" ref="BM23" si="51">BL23+BM13-BM19+BM27-BM21-BM22</f>
        <v>0</v>
      </c>
      <c r="BN23" s="499">
        <f t="shared" ref="BN23" si="52">BM23+BN13-BN19+BN27-BN21-BN22</f>
        <v>0</v>
      </c>
      <c r="BO23" s="499">
        <f t="shared" ref="BO23" si="53">BN23+BO13-BO19+BO27-BO21-BO22</f>
        <v>0</v>
      </c>
      <c r="BP23" s="499">
        <f t="shared" ref="BP23" si="54">BO23+BP13-BP19+BP27-BP21-BP22</f>
        <v>0</v>
      </c>
      <c r="BQ23" s="499">
        <f t="shared" ref="BQ23" si="55">BP23+BQ13-BQ19+BQ27-BQ21-BQ22</f>
        <v>0</v>
      </c>
      <c r="BR23" s="499">
        <f t="shared" ref="BR23" si="56">BQ23+BR13-BR19+BR27-BR21-BR22</f>
        <v>0</v>
      </c>
      <c r="BS23" s="500">
        <f t="shared" ref="BS23" si="57">BR23+BS13-BS19+BS27-BS21-BS22</f>
        <v>0</v>
      </c>
      <c r="BT23" s="501">
        <f>BS23</f>
        <v>0</v>
      </c>
      <c r="BU23" s="502">
        <f>BS23+BU27+BU13-BU19-BU21-BU22</f>
        <v>0</v>
      </c>
      <c r="BV23" s="499">
        <f t="shared" ref="BV23" si="58">BU23+BV13-BV19+BV27-BV21-BV22</f>
        <v>0</v>
      </c>
      <c r="BW23" s="499">
        <f t="shared" ref="BW23" si="59">BV23+BW13-BW19+BW27-BW21-BW22</f>
        <v>0</v>
      </c>
      <c r="BX23" s="499">
        <f t="shared" ref="BX23" si="60">BW23+BX13-BX19+BX27-BX21-BX22</f>
        <v>0</v>
      </c>
      <c r="BY23" s="499">
        <f t="shared" ref="BY23" si="61">BX23+BY13-BY19+BY27-BY21-BY22</f>
        <v>0</v>
      </c>
      <c r="BZ23" s="499">
        <f t="shared" ref="BZ23" si="62">BY23+BZ13-BZ19+BZ27-BZ21-BZ22</f>
        <v>0</v>
      </c>
      <c r="CA23" s="499">
        <f t="shared" ref="CA23" si="63">BZ23+CA13-CA19+CA27-CA21-CA22</f>
        <v>0</v>
      </c>
      <c r="CB23" s="499">
        <f t="shared" ref="CB23" si="64">CA23+CB13-CB19+CB27-CB21-CB22</f>
        <v>0</v>
      </c>
      <c r="CC23" s="499">
        <f t="shared" ref="CC23" si="65">CB23+CC13-CC19+CC27-CC21-CC22</f>
        <v>0</v>
      </c>
      <c r="CD23" s="499">
        <f t="shared" ref="CD23" si="66">CC23+CD13-CD19+CD27-CD21-CD22</f>
        <v>0</v>
      </c>
      <c r="CE23" s="499">
        <f t="shared" ref="CE23" si="67">CD23+CE13-CE19+CE27-CE21-CE22</f>
        <v>0</v>
      </c>
      <c r="CF23" s="500">
        <f t="shared" ref="CF23" si="68">CE23+CF13-CF19+CF27-CF21-CF22</f>
        <v>0</v>
      </c>
      <c r="CG23" s="501">
        <f>CF23</f>
        <v>0</v>
      </c>
      <c r="CH23" s="502">
        <f>CF23+CH27+CH13-CH19-CH21-CH22</f>
        <v>0</v>
      </c>
      <c r="CI23" s="499">
        <f t="shared" ref="CI23:CS23" si="69">CH23+CI13-CI19+CI27-CI21-CI22</f>
        <v>0</v>
      </c>
      <c r="CJ23" s="499">
        <f t="shared" si="69"/>
        <v>0</v>
      </c>
      <c r="CK23" s="499">
        <f t="shared" si="69"/>
        <v>0</v>
      </c>
      <c r="CL23" s="499">
        <f t="shared" si="69"/>
        <v>0</v>
      </c>
      <c r="CM23" s="499">
        <f t="shared" si="69"/>
        <v>0</v>
      </c>
      <c r="CN23" s="499">
        <f t="shared" si="69"/>
        <v>0</v>
      </c>
      <c r="CO23" s="499">
        <f t="shared" si="69"/>
        <v>0</v>
      </c>
      <c r="CP23" s="499">
        <f t="shared" si="69"/>
        <v>0</v>
      </c>
      <c r="CQ23" s="499">
        <f t="shared" si="69"/>
        <v>0</v>
      </c>
      <c r="CR23" s="499">
        <f t="shared" si="69"/>
        <v>0</v>
      </c>
      <c r="CS23" s="500">
        <f t="shared" si="69"/>
        <v>0</v>
      </c>
      <c r="CT23" s="501">
        <f>CS23</f>
        <v>0</v>
      </c>
      <c r="CU23" s="503"/>
      <c r="CV23" s="497">
        <f>CT23</f>
        <v>0</v>
      </c>
      <c r="CW23" s="504"/>
      <c r="CX23" s="462"/>
    </row>
    <row r="24" spans="1:102" s="525" customFormat="1" ht="15" customHeight="1" x14ac:dyDescent="0.25">
      <c r="A24" s="518" t="s">
        <v>425</v>
      </c>
      <c r="B24" s="677"/>
      <c r="C24" s="519"/>
      <c r="D24" s="520"/>
      <c r="E24" s="520"/>
      <c r="F24" s="520"/>
      <c r="G24" s="520"/>
      <c r="H24" s="520"/>
      <c r="I24" s="520"/>
      <c r="J24" s="520"/>
      <c r="K24" s="520"/>
      <c r="L24" s="520"/>
      <c r="M24" s="520"/>
      <c r="N24" s="520"/>
      <c r="O24" s="520"/>
      <c r="P24" s="520"/>
      <c r="Q24" s="520"/>
      <c r="R24" s="520"/>
      <c r="S24" s="520"/>
      <c r="T24" s="521"/>
      <c r="U24" s="520"/>
      <c r="V24" s="520"/>
      <c r="W24" s="520"/>
      <c r="X24" s="520"/>
      <c r="Y24" s="520"/>
      <c r="Z24" s="520"/>
      <c r="AA24" s="520"/>
      <c r="AB24" s="520"/>
      <c r="AC24" s="520"/>
      <c r="AD24" s="520"/>
      <c r="AE24" s="520"/>
      <c r="AF24" s="520"/>
      <c r="AG24" s="522"/>
      <c r="AH24" s="520"/>
      <c r="AI24" s="520"/>
      <c r="AJ24" s="520"/>
      <c r="AK24" s="520"/>
      <c r="AL24" s="520"/>
      <c r="AM24" s="520"/>
      <c r="AN24" s="520"/>
      <c r="AO24" s="520"/>
      <c r="AP24" s="520"/>
      <c r="AQ24" s="520"/>
      <c r="AR24" s="520"/>
      <c r="AS24" s="520"/>
      <c r="AT24" s="521"/>
      <c r="AU24" s="520"/>
      <c r="AV24" s="520"/>
      <c r="AW24" s="520"/>
      <c r="AX24" s="520"/>
      <c r="AY24" s="520"/>
      <c r="AZ24" s="520"/>
      <c r="BA24" s="520"/>
      <c r="BB24" s="520"/>
      <c r="BC24" s="520"/>
      <c r="BD24" s="520"/>
      <c r="BE24" s="520"/>
      <c r="BF24" s="520"/>
      <c r="BG24" s="522"/>
      <c r="BH24" s="520"/>
      <c r="BI24" s="520"/>
      <c r="BJ24" s="520"/>
      <c r="BK24" s="520"/>
      <c r="BL24" s="520"/>
      <c r="BM24" s="520"/>
      <c r="BN24" s="520"/>
      <c r="BO24" s="520"/>
      <c r="BP24" s="520"/>
      <c r="BQ24" s="520"/>
      <c r="BR24" s="520"/>
      <c r="BS24" s="520"/>
      <c r="BT24" s="522"/>
      <c r="BU24" s="520"/>
      <c r="BV24" s="520"/>
      <c r="BW24" s="520"/>
      <c r="BX24" s="520"/>
      <c r="BY24" s="520"/>
      <c r="BZ24" s="520"/>
      <c r="CA24" s="520"/>
      <c r="CB24" s="520"/>
      <c r="CC24" s="520"/>
      <c r="CD24" s="520"/>
      <c r="CE24" s="520"/>
      <c r="CF24" s="520"/>
      <c r="CG24" s="522"/>
      <c r="CH24" s="520"/>
      <c r="CI24" s="520"/>
      <c r="CJ24" s="520"/>
      <c r="CK24" s="520"/>
      <c r="CL24" s="520"/>
      <c r="CM24" s="520"/>
      <c r="CN24" s="520"/>
      <c r="CO24" s="520"/>
      <c r="CP24" s="520"/>
      <c r="CQ24" s="520"/>
      <c r="CR24" s="520"/>
      <c r="CS24" s="520"/>
      <c r="CT24" s="522"/>
      <c r="CU24" s="523"/>
      <c r="CV24" s="524"/>
      <c r="CW24" s="524"/>
      <c r="CX24" s="462"/>
    </row>
    <row r="25" spans="1:102" s="505" customFormat="1" ht="15" customHeight="1" x14ac:dyDescent="0.25">
      <c r="A25" s="526" t="s">
        <v>541</v>
      </c>
      <c r="B25" s="678">
        <f>SUM(T25,AG25,BG25,BT25,CG25,AT25,CT25)</f>
        <v>0</v>
      </c>
      <c r="C25" s="527"/>
      <c r="D25" s="528"/>
      <c r="E25" s="529"/>
      <c r="F25" s="528"/>
      <c r="G25" s="529"/>
      <c r="H25" s="339"/>
      <c r="I25" s="339"/>
      <c r="J25" s="339"/>
      <c r="K25" s="339"/>
      <c r="L25" s="339"/>
      <c r="M25" s="339"/>
      <c r="N25" s="339"/>
      <c r="O25" s="339"/>
      <c r="P25" s="339"/>
      <c r="Q25" s="339"/>
      <c r="R25" s="339"/>
      <c r="S25" s="340"/>
      <c r="T25" s="530">
        <f>SUM(H25:S25)</f>
        <v>0</v>
      </c>
      <c r="U25" s="349"/>
      <c r="V25" s="349"/>
      <c r="W25" s="349"/>
      <c r="X25" s="349"/>
      <c r="Y25" s="349"/>
      <c r="Z25" s="349"/>
      <c r="AA25" s="349"/>
      <c r="AB25" s="349"/>
      <c r="AC25" s="349"/>
      <c r="AD25" s="349"/>
      <c r="AE25" s="349"/>
      <c r="AF25" s="350"/>
      <c r="AG25" s="531">
        <f>SUM(U25:AF25)</f>
        <v>0</v>
      </c>
      <c r="AH25" s="349"/>
      <c r="AI25" s="349"/>
      <c r="AJ25" s="349"/>
      <c r="AK25" s="349"/>
      <c r="AL25" s="349"/>
      <c r="AM25" s="349"/>
      <c r="AN25" s="349"/>
      <c r="AO25" s="349"/>
      <c r="AP25" s="349"/>
      <c r="AQ25" s="349"/>
      <c r="AR25" s="349"/>
      <c r="AS25" s="350"/>
      <c r="AT25" s="530">
        <f>SUM(AH25:AS25)</f>
        <v>0</v>
      </c>
      <c r="AU25" s="349"/>
      <c r="AV25" s="349"/>
      <c r="AW25" s="349"/>
      <c r="AX25" s="349"/>
      <c r="AY25" s="349"/>
      <c r="AZ25" s="349"/>
      <c r="BA25" s="349"/>
      <c r="BB25" s="349"/>
      <c r="BC25" s="349"/>
      <c r="BD25" s="349"/>
      <c r="BE25" s="349"/>
      <c r="BF25" s="350"/>
      <c r="BG25" s="531">
        <f>SUM(AU25:BF25)</f>
        <v>0</v>
      </c>
      <c r="BH25" s="349"/>
      <c r="BI25" s="349"/>
      <c r="BJ25" s="349"/>
      <c r="BK25" s="349"/>
      <c r="BL25" s="349"/>
      <c r="BM25" s="349"/>
      <c r="BN25" s="349"/>
      <c r="BO25" s="349"/>
      <c r="BP25" s="349"/>
      <c r="BQ25" s="349"/>
      <c r="BR25" s="349"/>
      <c r="BS25" s="350"/>
      <c r="BT25" s="531">
        <f>SUM(BH25:BS25)</f>
        <v>0</v>
      </c>
      <c r="BU25" s="349"/>
      <c r="BV25" s="349"/>
      <c r="BW25" s="349"/>
      <c r="BX25" s="349"/>
      <c r="BY25" s="349"/>
      <c r="BZ25" s="349"/>
      <c r="CA25" s="349"/>
      <c r="CB25" s="349"/>
      <c r="CC25" s="349"/>
      <c r="CD25" s="349"/>
      <c r="CE25" s="349"/>
      <c r="CF25" s="350"/>
      <c r="CG25" s="531">
        <f>SUM(BU25:CF25)</f>
        <v>0</v>
      </c>
      <c r="CH25" s="349"/>
      <c r="CI25" s="349"/>
      <c r="CJ25" s="349"/>
      <c r="CK25" s="349"/>
      <c r="CL25" s="349"/>
      <c r="CM25" s="349"/>
      <c r="CN25" s="349"/>
      <c r="CO25" s="349"/>
      <c r="CP25" s="349"/>
      <c r="CQ25" s="349"/>
      <c r="CR25" s="349"/>
      <c r="CS25" s="350"/>
      <c r="CT25" s="531">
        <f>SUM(CH25:CS25)</f>
        <v>0</v>
      </c>
      <c r="CU25" s="503"/>
      <c r="CV25" s="460">
        <f t="shared" ref="CV25:CV26" si="70">T25+AG25+AT25+BG25+BT25+CG25+CT25</f>
        <v>0</v>
      </c>
      <c r="CW25" s="532"/>
      <c r="CX25" s="462"/>
    </row>
    <row r="26" spans="1:102" s="505" customFormat="1" ht="15" customHeight="1" thickBot="1" x14ac:dyDescent="0.3">
      <c r="A26" s="526" t="s">
        <v>540</v>
      </c>
      <c r="B26" s="678">
        <f>SUM(T26,AG26,BG26,BT26,CG26,AT26,CT26)</f>
        <v>0</v>
      </c>
      <c r="C26" s="533"/>
      <c r="D26" s="534"/>
      <c r="E26" s="535"/>
      <c r="F26" s="534"/>
      <c r="G26" s="535"/>
      <c r="H26" s="339"/>
      <c r="I26" s="339"/>
      <c r="J26" s="339"/>
      <c r="K26" s="339"/>
      <c r="L26" s="339"/>
      <c r="M26" s="339"/>
      <c r="N26" s="339"/>
      <c r="O26" s="339"/>
      <c r="P26" s="337"/>
      <c r="Q26" s="337"/>
      <c r="R26" s="339"/>
      <c r="S26" s="340"/>
      <c r="T26" s="530">
        <f>SUM(H26:S26)</f>
        <v>0</v>
      </c>
      <c r="U26" s="349"/>
      <c r="V26" s="349"/>
      <c r="W26" s="349"/>
      <c r="X26" s="349"/>
      <c r="Y26" s="349"/>
      <c r="Z26" s="349"/>
      <c r="AA26" s="349"/>
      <c r="AB26" s="349"/>
      <c r="AC26" s="349"/>
      <c r="AD26" s="349"/>
      <c r="AE26" s="349"/>
      <c r="AF26" s="350"/>
      <c r="AG26" s="531">
        <f>SUM(U26:AF26)</f>
        <v>0</v>
      </c>
      <c r="AH26" s="349"/>
      <c r="AI26" s="349"/>
      <c r="AJ26" s="349"/>
      <c r="AK26" s="349"/>
      <c r="AL26" s="349"/>
      <c r="AM26" s="349"/>
      <c r="AN26" s="349"/>
      <c r="AO26" s="349"/>
      <c r="AP26" s="349"/>
      <c r="AQ26" s="349"/>
      <c r="AR26" s="349"/>
      <c r="AS26" s="350"/>
      <c r="AT26" s="530">
        <f>SUM(AH26:AS26)</f>
        <v>0</v>
      </c>
      <c r="AU26" s="349"/>
      <c r="AV26" s="349"/>
      <c r="AW26" s="349"/>
      <c r="AX26" s="349"/>
      <c r="AY26" s="349"/>
      <c r="AZ26" s="349"/>
      <c r="BA26" s="349"/>
      <c r="BB26" s="349"/>
      <c r="BC26" s="349"/>
      <c r="BD26" s="349"/>
      <c r="BE26" s="349"/>
      <c r="BF26" s="350"/>
      <c r="BG26" s="531">
        <f>SUM(AU26:BF26)</f>
        <v>0</v>
      </c>
      <c r="BH26" s="349"/>
      <c r="BI26" s="349"/>
      <c r="BJ26" s="349"/>
      <c r="BK26" s="349"/>
      <c r="BL26" s="349"/>
      <c r="BM26" s="349"/>
      <c r="BN26" s="349"/>
      <c r="BO26" s="349"/>
      <c r="BP26" s="349"/>
      <c r="BQ26" s="349"/>
      <c r="BR26" s="349"/>
      <c r="BS26" s="350"/>
      <c r="BT26" s="531">
        <f>SUM(BH26:BS26)</f>
        <v>0</v>
      </c>
      <c r="BU26" s="349"/>
      <c r="BV26" s="349"/>
      <c r="BW26" s="349"/>
      <c r="BX26" s="349"/>
      <c r="BY26" s="349"/>
      <c r="BZ26" s="349"/>
      <c r="CA26" s="349"/>
      <c r="CB26" s="349"/>
      <c r="CC26" s="349"/>
      <c r="CD26" s="349"/>
      <c r="CE26" s="349"/>
      <c r="CF26" s="350"/>
      <c r="CG26" s="531">
        <f>SUM(BU26:CF26)</f>
        <v>0</v>
      </c>
      <c r="CH26" s="349"/>
      <c r="CI26" s="349"/>
      <c r="CJ26" s="349"/>
      <c r="CK26" s="349"/>
      <c r="CL26" s="349"/>
      <c r="CM26" s="349"/>
      <c r="CN26" s="349"/>
      <c r="CO26" s="349"/>
      <c r="CP26" s="349"/>
      <c r="CQ26" s="349"/>
      <c r="CR26" s="349"/>
      <c r="CS26" s="350"/>
      <c r="CT26" s="531">
        <f>SUM(CH26:CS26)</f>
        <v>0</v>
      </c>
      <c r="CU26" s="503"/>
      <c r="CV26" s="460">
        <f t="shared" si="70"/>
        <v>0</v>
      </c>
      <c r="CW26" s="536"/>
      <c r="CX26" s="462"/>
    </row>
    <row r="27" spans="1:102" s="546" customFormat="1" ht="15.75" customHeight="1" thickBot="1" x14ac:dyDescent="0.3">
      <c r="A27" s="537" t="s">
        <v>424</v>
      </c>
      <c r="B27" s="679">
        <f>SUM(B25:B26)</f>
        <v>0</v>
      </c>
      <c r="C27" s="538"/>
      <c r="D27" s="539"/>
      <c r="E27" s="540"/>
      <c r="F27" s="539"/>
      <c r="G27" s="540"/>
      <c r="H27" s="541">
        <f t="shared" ref="H27:AM27" si="71">SUM(H25:H26)</f>
        <v>0</v>
      </c>
      <c r="I27" s="541">
        <f t="shared" si="71"/>
        <v>0</v>
      </c>
      <c r="J27" s="541">
        <f t="shared" si="71"/>
        <v>0</v>
      </c>
      <c r="K27" s="541">
        <f t="shared" si="71"/>
        <v>0</v>
      </c>
      <c r="L27" s="541">
        <f t="shared" si="71"/>
        <v>0</v>
      </c>
      <c r="M27" s="541">
        <f t="shared" si="71"/>
        <v>0</v>
      </c>
      <c r="N27" s="541">
        <f t="shared" si="71"/>
        <v>0</v>
      </c>
      <c r="O27" s="541">
        <f t="shared" si="71"/>
        <v>0</v>
      </c>
      <c r="P27" s="541">
        <f t="shared" si="71"/>
        <v>0</v>
      </c>
      <c r="Q27" s="541">
        <f t="shared" si="71"/>
        <v>0</v>
      </c>
      <c r="R27" s="541">
        <f t="shared" si="71"/>
        <v>0</v>
      </c>
      <c r="S27" s="541">
        <f t="shared" si="71"/>
        <v>0</v>
      </c>
      <c r="T27" s="542">
        <f t="shared" si="71"/>
        <v>0</v>
      </c>
      <c r="U27" s="543">
        <f t="shared" si="71"/>
        <v>0</v>
      </c>
      <c r="V27" s="541">
        <f t="shared" si="71"/>
        <v>0</v>
      </c>
      <c r="W27" s="541">
        <f t="shared" si="71"/>
        <v>0</v>
      </c>
      <c r="X27" s="541">
        <f t="shared" si="71"/>
        <v>0</v>
      </c>
      <c r="Y27" s="541">
        <f t="shared" si="71"/>
        <v>0</v>
      </c>
      <c r="Z27" s="541">
        <f t="shared" si="71"/>
        <v>0</v>
      </c>
      <c r="AA27" s="541">
        <f t="shared" si="71"/>
        <v>0</v>
      </c>
      <c r="AB27" s="541">
        <f t="shared" si="71"/>
        <v>0</v>
      </c>
      <c r="AC27" s="541">
        <f t="shared" si="71"/>
        <v>0</v>
      </c>
      <c r="AD27" s="541">
        <f t="shared" si="71"/>
        <v>0</v>
      </c>
      <c r="AE27" s="541">
        <f t="shared" si="71"/>
        <v>0</v>
      </c>
      <c r="AF27" s="541">
        <f t="shared" si="71"/>
        <v>0</v>
      </c>
      <c r="AG27" s="542">
        <f t="shared" si="71"/>
        <v>0</v>
      </c>
      <c r="AH27" s="543">
        <f t="shared" si="71"/>
        <v>0</v>
      </c>
      <c r="AI27" s="541">
        <f t="shared" si="71"/>
        <v>0</v>
      </c>
      <c r="AJ27" s="541">
        <f t="shared" si="71"/>
        <v>0</v>
      </c>
      <c r="AK27" s="541">
        <f t="shared" si="71"/>
        <v>0</v>
      </c>
      <c r="AL27" s="541">
        <f t="shared" si="71"/>
        <v>0</v>
      </c>
      <c r="AM27" s="541">
        <f t="shared" si="71"/>
        <v>0</v>
      </c>
      <c r="AN27" s="541">
        <f t="shared" ref="AN27:CW27" si="72">SUM(AN25:AN26)</f>
        <v>0</v>
      </c>
      <c r="AO27" s="541">
        <f t="shared" si="72"/>
        <v>0</v>
      </c>
      <c r="AP27" s="541">
        <f t="shared" si="72"/>
        <v>0</v>
      </c>
      <c r="AQ27" s="541">
        <f t="shared" si="72"/>
        <v>0</v>
      </c>
      <c r="AR27" s="541">
        <f t="shared" si="72"/>
        <v>0</v>
      </c>
      <c r="AS27" s="541">
        <f t="shared" si="72"/>
        <v>0</v>
      </c>
      <c r="AT27" s="542">
        <f t="shared" si="72"/>
        <v>0</v>
      </c>
      <c r="AU27" s="543">
        <f t="shared" ref="AU27:CG27" si="73">SUM(AU25:AU26)</f>
        <v>0</v>
      </c>
      <c r="AV27" s="541">
        <f t="shared" si="73"/>
        <v>0</v>
      </c>
      <c r="AW27" s="541">
        <f t="shared" si="73"/>
        <v>0</v>
      </c>
      <c r="AX27" s="541">
        <f t="shared" si="73"/>
        <v>0</v>
      </c>
      <c r="AY27" s="541">
        <f t="shared" si="73"/>
        <v>0</v>
      </c>
      <c r="AZ27" s="541">
        <f t="shared" si="73"/>
        <v>0</v>
      </c>
      <c r="BA27" s="541">
        <f t="shared" si="73"/>
        <v>0</v>
      </c>
      <c r="BB27" s="541">
        <f t="shared" si="73"/>
        <v>0</v>
      </c>
      <c r="BC27" s="541">
        <f t="shared" si="73"/>
        <v>0</v>
      </c>
      <c r="BD27" s="541">
        <f t="shared" si="73"/>
        <v>0</v>
      </c>
      <c r="BE27" s="541">
        <f t="shared" si="73"/>
        <v>0</v>
      </c>
      <c r="BF27" s="541">
        <f t="shared" si="73"/>
        <v>0</v>
      </c>
      <c r="BG27" s="542">
        <f t="shared" si="73"/>
        <v>0</v>
      </c>
      <c r="BH27" s="543">
        <f t="shared" si="73"/>
        <v>0</v>
      </c>
      <c r="BI27" s="541">
        <f t="shared" si="73"/>
        <v>0</v>
      </c>
      <c r="BJ27" s="541">
        <f t="shared" si="73"/>
        <v>0</v>
      </c>
      <c r="BK27" s="541">
        <f t="shared" si="73"/>
        <v>0</v>
      </c>
      <c r="BL27" s="541">
        <f t="shared" si="73"/>
        <v>0</v>
      </c>
      <c r="BM27" s="541">
        <f t="shared" si="73"/>
        <v>0</v>
      </c>
      <c r="BN27" s="541">
        <f t="shared" si="73"/>
        <v>0</v>
      </c>
      <c r="BO27" s="541">
        <f t="shared" si="73"/>
        <v>0</v>
      </c>
      <c r="BP27" s="541">
        <f t="shared" si="73"/>
        <v>0</v>
      </c>
      <c r="BQ27" s="541">
        <f t="shared" si="73"/>
        <v>0</v>
      </c>
      <c r="BR27" s="541">
        <f t="shared" si="73"/>
        <v>0</v>
      </c>
      <c r="BS27" s="541">
        <f t="shared" si="73"/>
        <v>0</v>
      </c>
      <c r="BT27" s="542">
        <f t="shared" si="73"/>
        <v>0</v>
      </c>
      <c r="BU27" s="543">
        <f t="shared" si="73"/>
        <v>0</v>
      </c>
      <c r="BV27" s="541">
        <f t="shared" si="73"/>
        <v>0</v>
      </c>
      <c r="BW27" s="541">
        <f t="shared" si="73"/>
        <v>0</v>
      </c>
      <c r="BX27" s="541">
        <f t="shared" si="73"/>
        <v>0</v>
      </c>
      <c r="BY27" s="541">
        <f t="shared" si="73"/>
        <v>0</v>
      </c>
      <c r="BZ27" s="541">
        <f t="shared" si="73"/>
        <v>0</v>
      </c>
      <c r="CA27" s="541">
        <f t="shared" si="73"/>
        <v>0</v>
      </c>
      <c r="CB27" s="541">
        <f t="shared" si="73"/>
        <v>0</v>
      </c>
      <c r="CC27" s="541">
        <f t="shared" si="73"/>
        <v>0</v>
      </c>
      <c r="CD27" s="541">
        <f t="shared" si="73"/>
        <v>0</v>
      </c>
      <c r="CE27" s="541">
        <f t="shared" si="73"/>
        <v>0</v>
      </c>
      <c r="CF27" s="541">
        <f t="shared" si="73"/>
        <v>0</v>
      </c>
      <c r="CG27" s="542">
        <f t="shared" si="73"/>
        <v>0</v>
      </c>
      <c r="CH27" s="543">
        <f t="shared" si="72"/>
        <v>0</v>
      </c>
      <c r="CI27" s="541">
        <f t="shared" si="72"/>
        <v>0</v>
      </c>
      <c r="CJ27" s="541">
        <f t="shared" si="72"/>
        <v>0</v>
      </c>
      <c r="CK27" s="541">
        <f t="shared" si="72"/>
        <v>0</v>
      </c>
      <c r="CL27" s="541">
        <f t="shared" si="72"/>
        <v>0</v>
      </c>
      <c r="CM27" s="541">
        <f t="shared" si="72"/>
        <v>0</v>
      </c>
      <c r="CN27" s="541">
        <f t="shared" si="72"/>
        <v>0</v>
      </c>
      <c r="CO27" s="541">
        <f t="shared" si="72"/>
        <v>0</v>
      </c>
      <c r="CP27" s="541">
        <f t="shared" si="72"/>
        <v>0</v>
      </c>
      <c r="CQ27" s="541">
        <f t="shared" si="72"/>
        <v>0</v>
      </c>
      <c r="CR27" s="541">
        <f t="shared" si="72"/>
        <v>0</v>
      </c>
      <c r="CS27" s="541">
        <f t="shared" si="72"/>
        <v>0</v>
      </c>
      <c r="CT27" s="542">
        <f t="shared" si="72"/>
        <v>0</v>
      </c>
      <c r="CU27" s="544"/>
      <c r="CV27" s="541">
        <f t="shared" si="72"/>
        <v>0</v>
      </c>
      <c r="CW27" s="545">
        <f t="shared" si="72"/>
        <v>0</v>
      </c>
      <c r="CX27" s="462"/>
    </row>
    <row r="28" spans="1:102" s="546" customFormat="1" ht="15" customHeight="1" x14ac:dyDescent="0.25">
      <c r="A28" s="573" t="s">
        <v>542</v>
      </c>
      <c r="B28" s="574"/>
      <c r="C28" s="575"/>
      <c r="D28" s="547"/>
      <c r="F28" s="547"/>
      <c r="H28" s="548"/>
      <c r="I28" s="548"/>
      <c r="J28" s="548"/>
      <c r="K28" s="548"/>
      <c r="L28" s="548"/>
      <c r="M28" s="548"/>
      <c r="N28" s="548"/>
      <c r="O28" s="548"/>
      <c r="P28" s="548"/>
      <c r="Q28" s="548"/>
      <c r="R28" s="548"/>
      <c r="S28" s="548"/>
      <c r="T28" s="412"/>
      <c r="U28" s="548"/>
      <c r="V28" s="548"/>
      <c r="W28" s="548"/>
      <c r="X28" s="548"/>
      <c r="Y28" s="548"/>
      <c r="Z28" s="548"/>
      <c r="AA28" s="548"/>
      <c r="AB28" s="548"/>
      <c r="AC28" s="548"/>
      <c r="AD28" s="548"/>
      <c r="AE28" s="548"/>
      <c r="AF28" s="548"/>
      <c r="AG28" s="412"/>
      <c r="AH28" s="548"/>
      <c r="AI28" s="548"/>
      <c r="AJ28" s="548"/>
      <c r="AK28" s="548"/>
      <c r="AL28" s="548"/>
      <c r="AM28" s="548"/>
      <c r="AN28" s="548"/>
      <c r="AO28" s="548"/>
      <c r="AP28" s="548"/>
      <c r="AQ28" s="548"/>
      <c r="AR28" s="548"/>
      <c r="AS28" s="548"/>
      <c r="AT28" s="412"/>
      <c r="AU28" s="412"/>
      <c r="AV28" s="412"/>
      <c r="AW28" s="412"/>
      <c r="AX28" s="412"/>
      <c r="AY28" s="412"/>
      <c r="AZ28" s="412"/>
      <c r="BA28" s="412"/>
      <c r="BB28" s="412"/>
      <c r="BC28" s="412"/>
      <c r="BD28" s="412"/>
      <c r="BE28" s="412"/>
      <c r="BF28" s="412"/>
      <c r="BG28" s="412"/>
      <c r="BH28" s="412"/>
      <c r="BI28" s="412"/>
      <c r="BJ28" s="412"/>
      <c r="BK28" s="412"/>
      <c r="BL28" s="412"/>
      <c r="BM28" s="412"/>
      <c r="BN28" s="412"/>
      <c r="BO28" s="412"/>
      <c r="BP28" s="412"/>
      <c r="BQ28" s="412"/>
      <c r="BR28" s="412"/>
      <c r="BS28" s="412"/>
      <c r="BT28" s="412"/>
      <c r="BU28" s="412"/>
      <c r="BV28" s="412"/>
      <c r="BW28" s="412"/>
      <c r="BX28" s="412"/>
      <c r="BY28" s="412"/>
      <c r="BZ28" s="412"/>
      <c r="CA28" s="412"/>
      <c r="CB28" s="412"/>
      <c r="CC28" s="412"/>
      <c r="CD28" s="412"/>
      <c r="CE28" s="412"/>
      <c r="CF28" s="412"/>
      <c r="CG28" s="412"/>
      <c r="CH28" s="412"/>
      <c r="CI28" s="412"/>
      <c r="CJ28" s="412"/>
      <c r="CK28" s="412"/>
      <c r="CL28" s="412"/>
      <c r="CM28" s="412"/>
      <c r="CN28" s="412"/>
      <c r="CO28" s="412"/>
      <c r="CP28" s="412"/>
      <c r="CQ28" s="412"/>
      <c r="CR28" s="412"/>
      <c r="CS28" s="412"/>
      <c r="CT28" s="412"/>
      <c r="CV28" s="412"/>
    </row>
    <row r="29" spans="1:102" s="407" customFormat="1" ht="16.5" customHeight="1" x14ac:dyDescent="0.25">
      <c r="A29" s="576"/>
      <c r="B29" s="577"/>
      <c r="C29" s="577"/>
      <c r="K29" s="408"/>
      <c r="V29" s="408"/>
    </row>
    <row r="30" spans="1:102" s="406" customFormat="1" ht="15" customHeight="1" x14ac:dyDescent="0.25">
      <c r="A30" s="578"/>
      <c r="B30" s="577"/>
      <c r="C30" s="579"/>
      <c r="D30" s="550"/>
      <c r="E30" s="407"/>
      <c r="F30" s="550"/>
      <c r="G30" s="549"/>
      <c r="H30" s="551"/>
      <c r="I30" s="551"/>
      <c r="J30" s="552"/>
      <c r="K30" s="552"/>
      <c r="L30" s="551"/>
      <c r="M30" s="551"/>
      <c r="N30" s="551"/>
      <c r="O30" s="551"/>
      <c r="P30" s="551"/>
      <c r="Q30" s="551"/>
      <c r="R30" s="551"/>
      <c r="S30" s="551"/>
      <c r="T30" s="551"/>
      <c r="U30" s="551"/>
      <c r="V30" s="552"/>
      <c r="W30" s="551"/>
      <c r="X30" s="551"/>
      <c r="Y30" s="551"/>
      <c r="Z30" s="551"/>
      <c r="AA30" s="551"/>
      <c r="AB30" s="551"/>
      <c r="AC30" s="551"/>
      <c r="AD30" s="551"/>
      <c r="AE30" s="407"/>
      <c r="AF30" s="407"/>
      <c r="AG30" s="407"/>
      <c r="AH30" s="407"/>
      <c r="AI30" s="407"/>
      <c r="AJ30" s="407"/>
      <c r="AK30" s="407"/>
      <c r="AL30" s="407"/>
      <c r="AM30" s="407"/>
      <c r="AN30" s="407"/>
      <c r="AO30" s="407"/>
      <c r="AP30" s="551"/>
      <c r="AS30" s="551"/>
      <c r="AT30" s="407"/>
      <c r="AU30" s="407"/>
      <c r="AV30" s="407"/>
      <c r="AW30" s="407"/>
      <c r="AX30" s="407"/>
      <c r="AY30" s="407"/>
      <c r="AZ30" s="407"/>
      <c r="BA30" s="407"/>
      <c r="BB30" s="407"/>
      <c r="BC30" s="407"/>
      <c r="BD30" s="407"/>
      <c r="BE30" s="407"/>
      <c r="BF30" s="407"/>
      <c r="BG30" s="407"/>
      <c r="BH30" s="407"/>
      <c r="BI30" s="407"/>
      <c r="BJ30" s="407"/>
      <c r="BK30" s="407"/>
      <c r="BL30" s="407"/>
      <c r="BM30" s="407"/>
      <c r="BN30" s="407"/>
      <c r="BO30" s="407"/>
      <c r="BP30" s="407"/>
      <c r="BQ30" s="407"/>
      <c r="BR30" s="407"/>
      <c r="BS30" s="407"/>
      <c r="BT30" s="407"/>
      <c r="BU30" s="407"/>
      <c r="BV30" s="407"/>
      <c r="BW30" s="407"/>
      <c r="BX30" s="407"/>
      <c r="BY30" s="407"/>
      <c r="BZ30" s="407"/>
      <c r="CA30" s="407"/>
      <c r="CB30" s="407"/>
      <c r="CC30" s="407"/>
      <c r="CD30" s="407"/>
      <c r="CE30" s="407"/>
      <c r="CF30" s="407"/>
      <c r="CG30" s="407"/>
      <c r="CH30" s="551"/>
      <c r="CI30" s="551"/>
      <c r="CJ30" s="551"/>
      <c r="CK30" s="551"/>
      <c r="CL30" s="551"/>
      <c r="CM30" s="551"/>
      <c r="CN30" s="551"/>
      <c r="CO30" s="551"/>
      <c r="CP30" s="551"/>
      <c r="CQ30" s="551"/>
      <c r="CR30" s="551"/>
      <c r="CS30" s="551"/>
      <c r="CT30" s="551"/>
      <c r="CU30" s="551"/>
      <c r="CV30" s="551"/>
      <c r="CW30" s="551"/>
    </row>
    <row r="31" spans="1:102" s="406" customFormat="1" ht="14.25" customHeight="1" x14ac:dyDescent="0.25">
      <c r="A31" s="580"/>
      <c r="B31" s="581"/>
      <c r="C31" s="579"/>
      <c r="D31" s="404"/>
      <c r="E31" s="404"/>
      <c r="F31" s="404"/>
      <c r="G31" s="404"/>
      <c r="K31" s="553"/>
      <c r="U31" s="554"/>
      <c r="V31" s="553"/>
      <c r="X31" s="553"/>
      <c r="AE31" s="407"/>
      <c r="AF31" s="407"/>
      <c r="AG31" s="407"/>
      <c r="AH31" s="407"/>
      <c r="AI31" s="407"/>
      <c r="AJ31" s="407"/>
      <c r="AK31" s="407"/>
      <c r="AL31" s="407"/>
      <c r="AM31" s="407"/>
      <c r="AN31" s="407"/>
      <c r="AO31" s="407"/>
    </row>
    <row r="32" spans="1:102" s="406" customFormat="1" ht="14.25" customHeight="1" x14ac:dyDescent="0.25">
      <c r="A32" s="581"/>
      <c r="B32" s="582"/>
      <c r="C32" s="579"/>
      <c r="D32" s="555"/>
      <c r="E32" s="404"/>
      <c r="F32" s="404"/>
      <c r="G32" s="404"/>
      <c r="K32" s="553"/>
      <c r="R32" s="554"/>
      <c r="S32" s="554"/>
      <c r="V32" s="553"/>
      <c r="X32" s="553"/>
      <c r="AE32" s="407"/>
      <c r="AF32" s="556"/>
      <c r="AG32" s="407"/>
      <c r="AH32" s="407"/>
      <c r="AI32" s="407"/>
      <c r="AJ32" s="407"/>
      <c r="AK32" s="407"/>
      <c r="AL32" s="407"/>
      <c r="AM32" s="407"/>
      <c r="AN32" s="407"/>
      <c r="AO32" s="407"/>
      <c r="AP32" s="557"/>
    </row>
    <row r="33" spans="1:43" s="406" customFormat="1" ht="14.25" customHeight="1" x14ac:dyDescent="0.25">
      <c r="A33" s="581"/>
      <c r="B33" s="581"/>
      <c r="C33" s="581"/>
      <c r="D33" s="404"/>
      <c r="E33" s="404"/>
      <c r="F33" s="404"/>
      <c r="G33" s="404"/>
      <c r="K33" s="553"/>
      <c r="S33" s="554"/>
      <c r="V33" s="553"/>
      <c r="X33" s="553"/>
      <c r="AE33" s="407"/>
      <c r="AF33" s="407"/>
      <c r="AG33" s="407"/>
      <c r="AH33" s="407"/>
      <c r="AI33" s="407"/>
      <c r="AJ33" s="407"/>
      <c r="AK33" s="407"/>
      <c r="AL33" s="407"/>
      <c r="AM33" s="407"/>
      <c r="AN33" s="407"/>
      <c r="AO33" s="407"/>
      <c r="AP33" s="557"/>
    </row>
    <row r="34" spans="1:43" s="406" customFormat="1" ht="14.25" customHeight="1" x14ac:dyDescent="0.25">
      <c r="A34" s="581"/>
      <c r="B34" s="581"/>
      <c r="C34" s="581"/>
      <c r="D34" s="404"/>
      <c r="E34" s="404"/>
      <c r="F34" s="404"/>
      <c r="G34" s="404"/>
      <c r="K34" s="553"/>
      <c r="Q34" s="554"/>
      <c r="V34" s="553"/>
      <c r="X34" s="553"/>
      <c r="AE34" s="407"/>
      <c r="AF34" s="407"/>
      <c r="AG34" s="407"/>
      <c r="AH34" s="407"/>
      <c r="AI34" s="407"/>
      <c r="AJ34" s="407"/>
      <c r="AK34" s="407"/>
      <c r="AL34" s="407"/>
      <c r="AM34" s="407"/>
      <c r="AN34" s="407"/>
      <c r="AO34" s="407"/>
      <c r="AP34" s="557"/>
    </row>
    <row r="35" spans="1:43" s="406" customFormat="1" ht="15" customHeight="1" x14ac:dyDescent="0.25">
      <c r="A35" s="581"/>
      <c r="B35" s="579"/>
      <c r="C35" s="579"/>
      <c r="K35" s="553"/>
      <c r="U35" s="554"/>
      <c r="V35" s="553"/>
      <c r="AE35" s="407"/>
      <c r="AF35" s="407"/>
      <c r="AG35" s="407"/>
      <c r="AH35" s="407"/>
      <c r="AI35" s="407"/>
      <c r="AJ35" s="407"/>
      <c r="AK35" s="407"/>
      <c r="AL35" s="407"/>
      <c r="AM35" s="407"/>
      <c r="AN35" s="407"/>
      <c r="AO35" s="407"/>
      <c r="AQ35" s="557"/>
    </row>
    <row r="36" spans="1:43" s="406" customFormat="1" ht="15" customHeight="1" x14ac:dyDescent="0.25">
      <c r="A36" s="558"/>
      <c r="K36" s="553"/>
      <c r="V36" s="553"/>
      <c r="AE36" s="407"/>
      <c r="AF36" s="407"/>
      <c r="AG36" s="407"/>
      <c r="AH36" s="407"/>
      <c r="AI36" s="407"/>
      <c r="AJ36" s="407"/>
      <c r="AK36" s="407"/>
      <c r="AL36" s="407"/>
      <c r="AM36" s="407"/>
      <c r="AN36" s="407"/>
      <c r="AO36" s="407"/>
    </row>
    <row r="37" spans="1:43" s="406" customFormat="1" ht="21" customHeight="1" x14ac:dyDescent="0.25">
      <c r="A37" s="1036"/>
      <c r="B37" s="1037"/>
      <c r="C37" s="1037"/>
      <c r="K37" s="553"/>
      <c r="V37" s="553"/>
      <c r="AE37" s="407"/>
      <c r="AF37" s="407"/>
      <c r="AG37" s="407"/>
      <c r="AH37" s="407"/>
      <c r="AI37" s="407"/>
      <c r="AJ37" s="407"/>
      <c r="AK37" s="407"/>
      <c r="AL37" s="407"/>
      <c r="AM37" s="407"/>
      <c r="AN37" s="407"/>
      <c r="AO37" s="407"/>
    </row>
    <row r="38" spans="1:43" s="406" customFormat="1" ht="14.25" customHeight="1" x14ac:dyDescent="0.25">
      <c r="A38" s="1037"/>
      <c r="B38" s="1037"/>
      <c r="C38" s="1037"/>
      <c r="K38" s="553"/>
      <c r="V38" s="553"/>
      <c r="AE38" s="407"/>
      <c r="AF38" s="407"/>
      <c r="AG38" s="407"/>
      <c r="AH38" s="407"/>
      <c r="AI38" s="407"/>
      <c r="AJ38" s="407"/>
      <c r="AK38" s="407"/>
      <c r="AL38" s="407"/>
      <c r="AM38" s="407"/>
      <c r="AN38" s="407"/>
      <c r="AO38" s="407"/>
    </row>
    <row r="39" spans="1:43" s="406" customFormat="1" ht="13.5" customHeight="1" x14ac:dyDescent="0.25">
      <c r="A39" s="1037"/>
      <c r="B39" s="1037"/>
      <c r="C39" s="1037"/>
      <c r="K39" s="553"/>
      <c r="V39" s="553"/>
      <c r="AE39" s="407"/>
      <c r="AF39" s="407"/>
      <c r="AG39" s="407"/>
      <c r="AH39" s="407"/>
      <c r="AI39" s="407"/>
      <c r="AJ39" s="407"/>
      <c r="AK39" s="407"/>
      <c r="AL39" s="407"/>
      <c r="AM39" s="407"/>
      <c r="AN39" s="407"/>
      <c r="AO39" s="407"/>
    </row>
    <row r="40" spans="1:43" s="559" customFormat="1" ht="15" customHeight="1" x14ac:dyDescent="0.25">
      <c r="A40" s="549"/>
      <c r="K40" s="560"/>
      <c r="V40" s="560"/>
      <c r="AG40" s="561"/>
      <c r="AI40" s="407"/>
      <c r="AJ40" s="407"/>
      <c r="AK40" s="407"/>
      <c r="AL40" s="407"/>
      <c r="AM40" s="407"/>
      <c r="AN40" s="407"/>
      <c r="AO40" s="407"/>
    </row>
    <row r="41" spans="1:43" s="559" customFormat="1" ht="13.5" customHeight="1" x14ac:dyDescent="0.25">
      <c r="A41" s="1036"/>
      <c r="B41" s="1037"/>
      <c r="C41" s="1037"/>
      <c r="K41" s="560"/>
      <c r="V41" s="560"/>
      <c r="AI41" s="407"/>
      <c r="AJ41" s="407"/>
      <c r="AK41" s="407"/>
      <c r="AL41" s="407"/>
      <c r="AM41" s="407"/>
      <c r="AN41" s="407"/>
      <c r="AO41" s="407"/>
    </row>
    <row r="42" spans="1:43" s="559" customFormat="1" ht="18" customHeight="1" x14ac:dyDescent="0.25">
      <c r="A42" s="1037"/>
      <c r="B42" s="1037"/>
      <c r="C42" s="1037"/>
      <c r="K42" s="560"/>
      <c r="V42" s="560"/>
      <c r="AI42" s="407"/>
      <c r="AJ42" s="407"/>
      <c r="AK42" s="407"/>
      <c r="AL42" s="407"/>
      <c r="AM42" s="407"/>
      <c r="AN42" s="407"/>
      <c r="AO42" s="407"/>
    </row>
    <row r="43" spans="1:43" s="559" customFormat="1" ht="13.5" customHeight="1" x14ac:dyDescent="0.25">
      <c r="A43" s="562"/>
      <c r="K43" s="560"/>
      <c r="V43" s="560"/>
      <c r="AI43" s="407"/>
      <c r="AJ43" s="407"/>
      <c r="AK43" s="407"/>
      <c r="AL43" s="407"/>
      <c r="AM43" s="407"/>
      <c r="AN43" s="407"/>
      <c r="AO43" s="407"/>
    </row>
    <row r="44" spans="1:43" s="559" customFormat="1" ht="13.5" customHeight="1" x14ac:dyDescent="0.25">
      <c r="A44" s="562"/>
      <c r="K44" s="560"/>
      <c r="V44" s="560"/>
      <c r="AI44" s="407"/>
      <c r="AJ44" s="407"/>
      <c r="AK44" s="407"/>
      <c r="AL44" s="407"/>
      <c r="AM44" s="407"/>
      <c r="AN44" s="407"/>
      <c r="AO44" s="407"/>
    </row>
    <row r="45" spans="1:43" s="559" customFormat="1" ht="18.75" customHeight="1" x14ac:dyDescent="0.25">
      <c r="A45" s="562"/>
      <c r="K45" s="560"/>
      <c r="V45" s="560"/>
      <c r="AI45" s="407"/>
      <c r="AJ45" s="407"/>
      <c r="AK45" s="407"/>
      <c r="AL45" s="407"/>
      <c r="AM45" s="407"/>
      <c r="AN45" s="407"/>
      <c r="AO45" s="407"/>
    </row>
    <row r="46" spans="1:43" s="559" customFormat="1" ht="18.75" customHeight="1" x14ac:dyDescent="0.2">
      <c r="A46" s="562"/>
      <c r="K46" s="560"/>
      <c r="V46" s="560"/>
      <c r="AI46" s="560"/>
    </row>
    <row r="47" spans="1:43" s="559" customFormat="1" ht="13.5" customHeight="1" x14ac:dyDescent="0.2">
      <c r="A47" s="562"/>
      <c r="K47" s="560"/>
      <c r="V47" s="560"/>
      <c r="AI47" s="560"/>
    </row>
    <row r="48" spans="1:43" s="559" customFormat="1" ht="13.5" customHeight="1" x14ac:dyDescent="0.2">
      <c r="A48" s="562"/>
      <c r="K48" s="560"/>
      <c r="V48" s="560"/>
      <c r="AI48" s="560"/>
    </row>
    <row r="49" spans="1:35" s="559" customFormat="1" ht="15.75" x14ac:dyDescent="0.25">
      <c r="A49" s="562"/>
      <c r="B49" s="563"/>
      <c r="C49" s="564"/>
      <c r="D49" s="563"/>
      <c r="E49" s="564"/>
      <c r="F49" s="563"/>
      <c r="G49" s="564"/>
      <c r="K49" s="560"/>
      <c r="V49" s="560"/>
      <c r="AI49" s="560"/>
    </row>
    <row r="50" spans="1:35" s="559" customFormat="1" ht="15.75" x14ac:dyDescent="0.25">
      <c r="A50" s="562"/>
      <c r="B50" s="404"/>
      <c r="C50" s="565"/>
      <c r="D50" s="404"/>
      <c r="E50" s="565"/>
      <c r="F50" s="404"/>
      <c r="G50" s="565"/>
      <c r="K50" s="560"/>
      <c r="V50" s="560"/>
      <c r="AI50" s="560"/>
    </row>
    <row r="51" spans="1:35" s="559" customFormat="1" ht="15.75" x14ac:dyDescent="0.25">
      <c r="A51" s="550"/>
      <c r="B51" s="566"/>
      <c r="C51" s="404"/>
      <c r="D51" s="566"/>
      <c r="E51" s="404"/>
      <c r="F51" s="566"/>
      <c r="G51" s="404"/>
      <c r="H51" s="406"/>
      <c r="I51" s="406"/>
      <c r="J51" s="406"/>
      <c r="K51" s="553"/>
      <c r="L51" s="406"/>
      <c r="M51" s="406"/>
      <c r="N51" s="406"/>
      <c r="O51" s="406"/>
      <c r="P51" s="406"/>
      <c r="Q51" s="406"/>
      <c r="R51" s="406"/>
      <c r="S51" s="406"/>
      <c r="T51" s="406"/>
      <c r="V51" s="560"/>
      <c r="AI51" s="560"/>
    </row>
    <row r="52" spans="1:35" s="559" customFormat="1" ht="13.5" customHeight="1" x14ac:dyDescent="0.25">
      <c r="A52" s="567"/>
      <c r="B52" s="404"/>
      <c r="C52" s="564"/>
      <c r="D52" s="404"/>
      <c r="E52" s="564"/>
      <c r="F52" s="404"/>
      <c r="G52" s="564"/>
      <c r="H52" s="406"/>
      <c r="I52" s="406"/>
      <c r="J52" s="406"/>
      <c r="K52" s="553"/>
      <c r="L52" s="406"/>
      <c r="M52" s="406"/>
      <c r="N52" s="406"/>
      <c r="O52" s="406"/>
      <c r="P52" s="406"/>
      <c r="Q52" s="406"/>
      <c r="R52" s="406"/>
      <c r="S52" s="406"/>
      <c r="T52" s="406"/>
      <c r="V52" s="560"/>
      <c r="AI52" s="560"/>
    </row>
    <row r="53" spans="1:35" s="559" customFormat="1" ht="15.75" x14ac:dyDescent="0.25">
      <c r="A53" s="567"/>
      <c r="B53" s="563"/>
      <c r="C53" s="564"/>
      <c r="D53" s="563"/>
      <c r="E53" s="564"/>
      <c r="F53" s="563"/>
      <c r="G53" s="564"/>
      <c r="H53" s="406"/>
      <c r="I53" s="406"/>
      <c r="J53" s="406"/>
      <c r="K53" s="553"/>
      <c r="L53" s="406"/>
      <c r="M53" s="406"/>
      <c r="N53" s="406"/>
      <c r="O53" s="406"/>
      <c r="P53" s="406"/>
      <c r="Q53" s="406"/>
      <c r="R53" s="406"/>
      <c r="S53" s="406"/>
      <c r="T53" s="406"/>
      <c r="V53" s="560"/>
      <c r="AI53" s="560"/>
    </row>
    <row r="54" spans="1:35" s="559" customFormat="1" ht="15.75" x14ac:dyDescent="0.25">
      <c r="A54" s="567"/>
      <c r="B54" s="563"/>
      <c r="C54" s="564"/>
      <c r="D54" s="563"/>
      <c r="E54" s="564"/>
      <c r="F54" s="563"/>
      <c r="G54" s="564"/>
      <c r="H54" s="406"/>
      <c r="I54" s="406"/>
      <c r="J54" s="406"/>
      <c r="K54" s="553"/>
      <c r="L54" s="406"/>
      <c r="M54" s="406"/>
      <c r="N54" s="406"/>
      <c r="O54" s="406"/>
      <c r="P54" s="406"/>
      <c r="Q54" s="406"/>
      <c r="R54" s="406"/>
      <c r="S54" s="406"/>
      <c r="T54" s="406"/>
      <c r="V54" s="560"/>
      <c r="AI54" s="560"/>
    </row>
    <row r="55" spans="1:35" s="559" customFormat="1" ht="15.75" x14ac:dyDescent="0.25">
      <c r="A55" s="567"/>
      <c r="B55" s="563"/>
      <c r="C55" s="564"/>
      <c r="D55" s="563"/>
      <c r="E55" s="564"/>
      <c r="F55" s="563"/>
      <c r="G55" s="564"/>
      <c r="H55" s="406"/>
      <c r="I55" s="406"/>
      <c r="J55" s="406"/>
      <c r="K55" s="553"/>
      <c r="L55" s="406"/>
      <c r="M55" s="406"/>
      <c r="N55" s="406"/>
      <c r="O55" s="406"/>
      <c r="P55" s="406"/>
      <c r="Q55" s="406"/>
      <c r="R55" s="406"/>
      <c r="S55" s="406"/>
      <c r="T55" s="406"/>
      <c r="V55" s="560"/>
      <c r="AI55" s="560"/>
    </row>
    <row r="56" spans="1:35" ht="15.75" x14ac:dyDescent="0.25">
      <c r="A56" s="550"/>
      <c r="B56" s="563"/>
      <c r="C56" s="564"/>
      <c r="D56" s="563"/>
      <c r="E56" s="564"/>
      <c r="F56" s="563"/>
      <c r="G56" s="564"/>
      <c r="H56" s="559"/>
      <c r="I56" s="559"/>
      <c r="J56" s="559"/>
      <c r="K56" s="560"/>
      <c r="L56" s="559"/>
      <c r="M56" s="559"/>
      <c r="N56" s="559"/>
      <c r="O56" s="559"/>
      <c r="P56" s="559"/>
      <c r="Q56" s="559"/>
      <c r="R56" s="559"/>
      <c r="S56" s="559"/>
      <c r="T56" s="559"/>
    </row>
    <row r="57" spans="1:35" ht="15.75" x14ac:dyDescent="0.25">
      <c r="A57" s="404"/>
      <c r="B57" s="404"/>
      <c r="C57" s="406"/>
      <c r="D57" s="404"/>
      <c r="E57" s="406"/>
      <c r="F57" s="404"/>
      <c r="G57" s="406"/>
      <c r="H57" s="559"/>
      <c r="I57" s="559"/>
      <c r="J57" s="559"/>
      <c r="K57" s="560"/>
      <c r="L57" s="559"/>
      <c r="M57" s="559"/>
      <c r="N57" s="559"/>
      <c r="O57" s="559"/>
      <c r="P57" s="559"/>
      <c r="Q57" s="559"/>
      <c r="R57" s="559"/>
      <c r="S57" s="559"/>
      <c r="T57" s="559"/>
    </row>
    <row r="58" spans="1:35" ht="15.75" x14ac:dyDescent="0.25">
      <c r="A58" s="404"/>
      <c r="B58" s="563"/>
      <c r="C58" s="564"/>
      <c r="D58" s="563"/>
      <c r="E58" s="564"/>
      <c r="F58" s="563"/>
      <c r="G58" s="564"/>
      <c r="H58" s="559"/>
      <c r="I58" s="559"/>
      <c r="J58" s="559"/>
      <c r="K58" s="560"/>
      <c r="L58" s="559"/>
      <c r="M58" s="559"/>
      <c r="N58" s="559"/>
      <c r="O58" s="559"/>
      <c r="P58" s="559"/>
      <c r="Q58" s="559"/>
      <c r="R58" s="559"/>
      <c r="S58" s="559"/>
      <c r="T58" s="559"/>
    </row>
    <row r="59" spans="1:35" ht="15.75" x14ac:dyDescent="0.25">
      <c r="A59" s="404"/>
      <c r="B59" s="566"/>
      <c r="C59" s="569"/>
      <c r="D59" s="566"/>
      <c r="E59" s="569"/>
      <c r="F59" s="566"/>
      <c r="G59" s="569"/>
      <c r="H59" s="559"/>
      <c r="I59" s="559"/>
      <c r="J59" s="559"/>
      <c r="K59" s="560"/>
      <c r="L59" s="559"/>
      <c r="M59" s="559"/>
      <c r="N59" s="559"/>
      <c r="O59" s="559"/>
      <c r="P59" s="559"/>
      <c r="Q59" s="559"/>
      <c r="R59" s="559"/>
      <c r="S59" s="559"/>
      <c r="T59" s="559"/>
    </row>
    <row r="60" spans="1:35" ht="15.75" x14ac:dyDescent="0.25">
      <c r="A60" s="404"/>
      <c r="B60" s="404"/>
      <c r="C60" s="404"/>
      <c r="D60" s="404"/>
      <c r="E60" s="404"/>
      <c r="F60" s="404"/>
      <c r="G60" s="404"/>
      <c r="H60" s="559"/>
      <c r="I60" s="559"/>
      <c r="J60" s="559"/>
      <c r="K60" s="560"/>
      <c r="L60" s="559"/>
      <c r="M60" s="559"/>
      <c r="N60" s="559"/>
      <c r="O60" s="559"/>
      <c r="P60" s="559"/>
      <c r="Q60" s="559"/>
      <c r="R60" s="559"/>
      <c r="S60" s="559"/>
      <c r="T60" s="559"/>
    </row>
    <row r="61" spans="1:35" ht="15.75" x14ac:dyDescent="0.25">
      <c r="A61" s="404"/>
      <c r="B61" s="563"/>
      <c r="C61" s="570"/>
      <c r="D61" s="563"/>
      <c r="E61" s="570"/>
      <c r="F61" s="563"/>
      <c r="G61" s="570"/>
      <c r="H61" s="559"/>
      <c r="I61" s="559"/>
      <c r="J61" s="559"/>
      <c r="K61" s="560"/>
      <c r="L61" s="559"/>
      <c r="M61" s="559"/>
      <c r="N61" s="559"/>
      <c r="O61" s="559"/>
      <c r="P61" s="559"/>
      <c r="Q61" s="559"/>
      <c r="R61" s="559"/>
      <c r="S61" s="559"/>
      <c r="T61" s="559"/>
    </row>
    <row r="62" spans="1:35" ht="15.75" x14ac:dyDescent="0.25">
      <c r="A62" s="404"/>
      <c r="B62" s="571"/>
      <c r="C62" s="572"/>
      <c r="D62" s="571"/>
      <c r="E62" s="572"/>
      <c r="F62" s="571"/>
      <c r="G62" s="572"/>
      <c r="H62" s="559"/>
      <c r="I62" s="559"/>
      <c r="J62" s="559"/>
      <c r="K62" s="560"/>
      <c r="L62" s="559"/>
      <c r="M62" s="559"/>
      <c r="N62" s="559"/>
      <c r="O62" s="559"/>
      <c r="P62" s="559"/>
      <c r="Q62" s="559"/>
      <c r="R62" s="559"/>
      <c r="S62" s="559"/>
      <c r="T62" s="559"/>
      <c r="V62" s="415"/>
      <c r="AI62" s="415"/>
    </row>
    <row r="63" spans="1:35" ht="15.75" x14ac:dyDescent="0.25">
      <c r="A63" s="404"/>
      <c r="B63" s="404"/>
      <c r="D63" s="404"/>
      <c r="F63" s="404"/>
      <c r="H63" s="559"/>
      <c r="I63" s="559"/>
      <c r="J63" s="559"/>
      <c r="K63" s="560"/>
      <c r="L63" s="559"/>
      <c r="M63" s="559"/>
      <c r="N63" s="559"/>
      <c r="O63" s="559"/>
      <c r="P63" s="559"/>
      <c r="Q63" s="559"/>
      <c r="R63" s="559"/>
      <c r="S63" s="559"/>
      <c r="T63" s="559"/>
      <c r="V63" s="415"/>
      <c r="AI63" s="415"/>
    </row>
    <row r="64" spans="1:35" ht="15.75" x14ac:dyDescent="0.25">
      <c r="A64" s="404"/>
      <c r="B64" s="404"/>
      <c r="C64" s="564"/>
      <c r="D64" s="404"/>
      <c r="E64" s="564"/>
      <c r="F64" s="404"/>
      <c r="G64" s="564"/>
      <c r="H64" s="559"/>
      <c r="I64" s="559"/>
      <c r="J64" s="559"/>
      <c r="K64" s="560"/>
      <c r="L64" s="559"/>
      <c r="M64" s="559"/>
      <c r="N64" s="559"/>
      <c r="O64" s="559"/>
      <c r="P64" s="559"/>
      <c r="Q64" s="559"/>
      <c r="R64" s="559"/>
      <c r="S64" s="559"/>
      <c r="T64" s="559"/>
      <c r="V64" s="415"/>
      <c r="AI64" s="415"/>
    </row>
    <row r="65" spans="1:35" ht="15.75" x14ac:dyDescent="0.25">
      <c r="A65" s="550"/>
      <c r="B65" s="404"/>
      <c r="C65" s="404"/>
      <c r="D65" s="404"/>
      <c r="E65" s="404"/>
      <c r="F65" s="404"/>
      <c r="G65" s="404"/>
      <c r="H65" s="559"/>
      <c r="I65" s="559"/>
      <c r="J65" s="559"/>
      <c r="K65" s="560"/>
      <c r="L65" s="559"/>
      <c r="M65" s="559"/>
      <c r="N65" s="559"/>
      <c r="O65" s="559"/>
      <c r="P65" s="559"/>
      <c r="Q65" s="559"/>
      <c r="R65" s="559"/>
      <c r="S65" s="559"/>
      <c r="T65" s="559"/>
      <c r="V65" s="415"/>
      <c r="AI65" s="415"/>
    </row>
    <row r="66" spans="1:35" ht="15.75" x14ac:dyDescent="0.25">
      <c r="A66" s="404"/>
      <c r="B66" s="563"/>
      <c r="C66" s="564"/>
      <c r="D66" s="563"/>
      <c r="E66" s="564"/>
      <c r="F66" s="563"/>
      <c r="G66" s="564"/>
      <c r="H66" s="559"/>
      <c r="I66" s="559"/>
      <c r="J66" s="559"/>
      <c r="K66" s="560"/>
      <c r="L66" s="559"/>
      <c r="M66" s="559"/>
      <c r="N66" s="559"/>
      <c r="O66" s="559"/>
      <c r="P66" s="559"/>
      <c r="Q66" s="559"/>
      <c r="R66" s="559"/>
      <c r="S66" s="559"/>
      <c r="T66" s="559"/>
      <c r="V66" s="415"/>
      <c r="AI66" s="415"/>
    </row>
    <row r="67" spans="1:35" ht="15.75" x14ac:dyDescent="0.25">
      <c r="A67" s="404"/>
      <c r="B67" s="563"/>
      <c r="C67" s="564"/>
      <c r="D67" s="563"/>
      <c r="E67" s="564"/>
      <c r="F67" s="563"/>
      <c r="G67" s="564"/>
      <c r="H67" s="559"/>
      <c r="I67" s="559"/>
      <c r="J67" s="559"/>
      <c r="K67" s="560"/>
      <c r="L67" s="559"/>
      <c r="M67" s="559"/>
      <c r="N67" s="559"/>
      <c r="O67" s="559"/>
      <c r="P67" s="559"/>
      <c r="Q67" s="559"/>
      <c r="R67" s="559"/>
      <c r="S67" s="559"/>
      <c r="T67" s="559"/>
      <c r="V67" s="415"/>
      <c r="AI67" s="415"/>
    </row>
  </sheetData>
  <sheetProtection algorithmName="SHA-512" hashValue="otoCrpg4PqKSFWgUfOg0InE7KcI7IxCQfAvyQ91So2Gj+lTT+95Wb/AO8S0hC1L9wOZxKei2MpXSvxzBU6SuKg==" saltValue="cRIbNqW9YJOZbbWz40Vd1w==" spinCount="100000" sheet="1" objects="1" scenarios="1"/>
  <dataConsolidate/>
  <mergeCells count="27">
    <mergeCell ref="A41:C42"/>
    <mergeCell ref="A37:C39"/>
    <mergeCell ref="AG5:AG6"/>
    <mergeCell ref="CH5:CS5"/>
    <mergeCell ref="AT5:AT6"/>
    <mergeCell ref="G5:G6"/>
    <mergeCell ref="AU5:BF5"/>
    <mergeCell ref="BG5:BG6"/>
    <mergeCell ref="BH5:BS5"/>
    <mergeCell ref="BT5:BT6"/>
    <mergeCell ref="BU5:CF5"/>
    <mergeCell ref="CG5:CG6"/>
    <mergeCell ref="CW5:CW6"/>
    <mergeCell ref="AH5:AS5"/>
    <mergeCell ref="D5:D6"/>
    <mergeCell ref="E5:E6"/>
    <mergeCell ref="F5:F6"/>
    <mergeCell ref="CT5:CT6"/>
    <mergeCell ref="T5:T6"/>
    <mergeCell ref="U5:AF5"/>
    <mergeCell ref="CV5:CV6"/>
    <mergeCell ref="A1:B1"/>
    <mergeCell ref="A5:A6"/>
    <mergeCell ref="B5:B6"/>
    <mergeCell ref="C5:C6"/>
    <mergeCell ref="H5:S5"/>
    <mergeCell ref="A4:C4"/>
  </mergeCells>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AL35"/>
  <sheetViews>
    <sheetView workbookViewId="0">
      <selection activeCell="J12" sqref="J12"/>
    </sheetView>
  </sheetViews>
  <sheetFormatPr defaultColWidth="9.140625" defaultRowHeight="11.25" x14ac:dyDescent="0.2"/>
  <cols>
    <col min="1" max="1" width="63" style="898" customWidth="1"/>
    <col min="2" max="16384" width="9.140625" style="898"/>
  </cols>
  <sheetData>
    <row r="1" spans="1:38" ht="20.25" x14ac:dyDescent="0.2">
      <c r="A1" s="899" t="s">
        <v>513</v>
      </c>
    </row>
    <row r="2" spans="1:38" ht="24.75" customHeight="1" x14ac:dyDescent="0.2">
      <c r="A2" s="1038" t="s">
        <v>601</v>
      </c>
      <c r="B2" s="1038"/>
      <c r="C2" s="1038"/>
      <c r="D2" s="1038"/>
    </row>
    <row r="3" spans="1:38" s="112" customFormat="1" ht="12.75" x14ac:dyDescent="0.2">
      <c r="A3" s="307"/>
    </row>
    <row r="4" spans="1:38" s="112" customFormat="1" ht="15" x14ac:dyDescent="0.25">
      <c r="A4" s="308" t="s">
        <v>47</v>
      </c>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row>
    <row r="5" spans="1:38" s="112" customFormat="1" ht="12.75" x14ac:dyDescent="0.2">
      <c r="A5" s="310"/>
      <c r="B5" s="632"/>
      <c r="C5" s="632"/>
      <c r="D5" s="632"/>
      <c r="E5" s="10">
        <f>'Datu ievade'!B78</f>
        <v>2019</v>
      </c>
      <c r="F5" s="10">
        <f t="shared" ref="E5:AG6" si="0">E5+1</f>
        <v>2020</v>
      </c>
      <c r="G5" s="10">
        <f t="shared" si="0"/>
        <v>2021</v>
      </c>
      <c r="H5" s="10">
        <f t="shared" si="0"/>
        <v>2022</v>
      </c>
      <c r="I5" s="10">
        <f t="shared" si="0"/>
        <v>2023</v>
      </c>
      <c r="J5" s="10">
        <f t="shared" si="0"/>
        <v>2024</v>
      </c>
      <c r="K5" s="10">
        <f t="shared" si="0"/>
        <v>2025</v>
      </c>
      <c r="L5" s="10">
        <f t="shared" si="0"/>
        <v>2026</v>
      </c>
      <c r="M5" s="10">
        <f t="shared" si="0"/>
        <v>2027</v>
      </c>
      <c r="N5" s="10">
        <f t="shared" si="0"/>
        <v>2028</v>
      </c>
      <c r="O5" s="10">
        <f t="shared" si="0"/>
        <v>2029</v>
      </c>
      <c r="P5" s="10">
        <f t="shared" si="0"/>
        <v>2030</v>
      </c>
      <c r="Q5" s="10">
        <f t="shared" si="0"/>
        <v>2031</v>
      </c>
      <c r="R5" s="10">
        <f t="shared" si="0"/>
        <v>2032</v>
      </c>
      <c r="S5" s="10">
        <f t="shared" si="0"/>
        <v>2033</v>
      </c>
      <c r="T5" s="10">
        <f t="shared" si="0"/>
        <v>2034</v>
      </c>
      <c r="U5" s="10">
        <f t="shared" si="0"/>
        <v>2035</v>
      </c>
      <c r="V5" s="10">
        <f t="shared" si="0"/>
        <v>2036</v>
      </c>
      <c r="W5" s="10">
        <f t="shared" si="0"/>
        <v>2037</v>
      </c>
      <c r="X5" s="10">
        <f t="shared" si="0"/>
        <v>2038</v>
      </c>
      <c r="Y5" s="10">
        <f t="shared" si="0"/>
        <v>2039</v>
      </c>
      <c r="Z5" s="10">
        <f t="shared" si="0"/>
        <v>2040</v>
      </c>
      <c r="AA5" s="10">
        <f t="shared" si="0"/>
        <v>2041</v>
      </c>
      <c r="AB5" s="10">
        <f t="shared" si="0"/>
        <v>2042</v>
      </c>
      <c r="AC5" s="10">
        <f t="shared" si="0"/>
        <v>2043</v>
      </c>
      <c r="AD5" s="10">
        <f t="shared" si="0"/>
        <v>2044</v>
      </c>
      <c r="AE5" s="10">
        <f t="shared" si="0"/>
        <v>2045</v>
      </c>
      <c r="AF5" s="10">
        <f t="shared" si="0"/>
        <v>2046</v>
      </c>
      <c r="AG5" s="10">
        <f t="shared" si="0"/>
        <v>2047</v>
      </c>
      <c r="AH5" s="10">
        <f t="shared" ref="AH5:AJ6" si="1">AG5+1</f>
        <v>2048</v>
      </c>
      <c r="AI5" s="10">
        <f t="shared" si="1"/>
        <v>2049</v>
      </c>
      <c r="AJ5" s="10">
        <f t="shared" si="1"/>
        <v>2050</v>
      </c>
      <c r="AK5" s="10">
        <f>AJ5+1</f>
        <v>2051</v>
      </c>
      <c r="AL5" s="10">
        <f>AK5+1</f>
        <v>2052</v>
      </c>
    </row>
    <row r="6" spans="1:38" s="183" customFormat="1" ht="12.75" x14ac:dyDescent="0.2">
      <c r="A6" s="310"/>
      <c r="B6" s="633"/>
      <c r="C6" s="633"/>
      <c r="D6" s="633"/>
      <c r="E6" s="311">
        <f t="shared" si="0"/>
        <v>1</v>
      </c>
      <c r="F6" s="311">
        <f t="shared" si="0"/>
        <v>2</v>
      </c>
      <c r="G6" s="311">
        <f t="shared" si="0"/>
        <v>3</v>
      </c>
      <c r="H6" s="311">
        <f t="shared" si="0"/>
        <v>4</v>
      </c>
      <c r="I6" s="311">
        <f t="shared" si="0"/>
        <v>5</v>
      </c>
      <c r="J6" s="311">
        <f t="shared" si="0"/>
        <v>6</v>
      </c>
      <c r="K6" s="311">
        <f t="shared" si="0"/>
        <v>7</v>
      </c>
      <c r="L6" s="311">
        <f t="shared" si="0"/>
        <v>8</v>
      </c>
      <c r="M6" s="311">
        <f t="shared" si="0"/>
        <v>9</v>
      </c>
      <c r="N6" s="311">
        <f t="shared" si="0"/>
        <v>10</v>
      </c>
      <c r="O6" s="311">
        <f t="shared" si="0"/>
        <v>11</v>
      </c>
      <c r="P6" s="311">
        <f t="shared" si="0"/>
        <v>12</v>
      </c>
      <c r="Q6" s="311">
        <f t="shared" si="0"/>
        <v>13</v>
      </c>
      <c r="R6" s="311">
        <f t="shared" si="0"/>
        <v>14</v>
      </c>
      <c r="S6" s="311">
        <f t="shared" si="0"/>
        <v>15</v>
      </c>
      <c r="T6" s="311">
        <f t="shared" si="0"/>
        <v>16</v>
      </c>
      <c r="U6" s="311">
        <f t="shared" si="0"/>
        <v>17</v>
      </c>
      <c r="V6" s="311">
        <f t="shared" si="0"/>
        <v>18</v>
      </c>
      <c r="W6" s="311">
        <f t="shared" si="0"/>
        <v>19</v>
      </c>
      <c r="X6" s="311">
        <f t="shared" si="0"/>
        <v>20</v>
      </c>
      <c r="Y6" s="311">
        <f t="shared" si="0"/>
        <v>21</v>
      </c>
      <c r="Z6" s="311">
        <f t="shared" si="0"/>
        <v>22</v>
      </c>
      <c r="AA6" s="311">
        <f t="shared" si="0"/>
        <v>23</v>
      </c>
      <c r="AB6" s="311">
        <f t="shared" si="0"/>
        <v>24</v>
      </c>
      <c r="AC6" s="311">
        <f t="shared" si="0"/>
        <v>25</v>
      </c>
      <c r="AD6" s="311">
        <f t="shared" si="0"/>
        <v>26</v>
      </c>
      <c r="AE6" s="311">
        <f t="shared" si="0"/>
        <v>27</v>
      </c>
      <c r="AF6" s="311">
        <f t="shared" si="0"/>
        <v>28</v>
      </c>
      <c r="AG6" s="311">
        <f t="shared" si="0"/>
        <v>29</v>
      </c>
      <c r="AH6" s="311">
        <f t="shared" si="1"/>
        <v>30</v>
      </c>
      <c r="AI6" s="311">
        <f t="shared" si="1"/>
        <v>31</v>
      </c>
      <c r="AJ6" s="311">
        <f t="shared" si="1"/>
        <v>32</v>
      </c>
      <c r="AK6" s="311">
        <f>AJ6+1</f>
        <v>33</v>
      </c>
      <c r="AL6" s="311">
        <f>AK6+1</f>
        <v>34</v>
      </c>
    </row>
    <row r="7" spans="1:38" s="902" customFormat="1" ht="12.75" x14ac:dyDescent="0.2">
      <c r="A7" s="310" t="s">
        <v>266</v>
      </c>
      <c r="B7" s="903"/>
      <c r="C7" s="903"/>
      <c r="D7" s="903"/>
      <c r="E7" s="103">
        <v>2.8000000000000001E-2</v>
      </c>
      <c r="F7" s="103">
        <v>2.5000000000000001E-2</v>
      </c>
      <c r="G7" s="103">
        <v>2.1000000000000001E-2</v>
      </c>
      <c r="H7" s="103">
        <v>0.02</v>
      </c>
      <c r="I7" s="103">
        <v>0.02</v>
      </c>
      <c r="J7" s="103">
        <v>0.02</v>
      </c>
      <c r="K7" s="103">
        <v>0.02</v>
      </c>
      <c r="L7" s="103">
        <v>0.02</v>
      </c>
      <c r="M7" s="103">
        <v>0.02</v>
      </c>
      <c r="N7" s="103">
        <v>0.02</v>
      </c>
      <c r="O7" s="103">
        <v>0.02</v>
      </c>
      <c r="P7" s="103">
        <v>0.02</v>
      </c>
      <c r="Q7" s="103">
        <v>0.02</v>
      </c>
      <c r="R7" s="103">
        <v>0.02</v>
      </c>
      <c r="S7" s="103">
        <v>0.02</v>
      </c>
      <c r="T7" s="103">
        <v>0.02</v>
      </c>
      <c r="U7" s="103">
        <v>0.02</v>
      </c>
      <c r="V7" s="103">
        <v>0.02</v>
      </c>
      <c r="W7" s="103">
        <v>0.02</v>
      </c>
      <c r="X7" s="103">
        <v>0.02</v>
      </c>
      <c r="Y7" s="103">
        <v>0.02</v>
      </c>
      <c r="Z7" s="103">
        <v>0.02</v>
      </c>
      <c r="AA7" s="103">
        <v>0.02</v>
      </c>
      <c r="AB7" s="103">
        <v>0.02</v>
      </c>
      <c r="AC7" s="103">
        <v>0.02</v>
      </c>
      <c r="AD7" s="103">
        <v>0.02</v>
      </c>
      <c r="AE7" s="103">
        <v>0.02</v>
      </c>
      <c r="AF7" s="103">
        <v>0.02</v>
      </c>
      <c r="AG7" s="103">
        <v>0.02</v>
      </c>
      <c r="AH7" s="103">
        <v>0.02</v>
      </c>
      <c r="AI7" s="103">
        <v>0.02</v>
      </c>
      <c r="AJ7" s="103">
        <v>0.02</v>
      </c>
      <c r="AK7" s="103">
        <f>AJ7</f>
        <v>0.02</v>
      </c>
      <c r="AL7" s="103">
        <f>AK7</f>
        <v>0.02</v>
      </c>
    </row>
    <row r="8" spans="1:38" s="183" customFormat="1" ht="12.75" x14ac:dyDescent="0.2">
      <c r="A8" s="310" t="s">
        <v>48</v>
      </c>
      <c r="B8" s="634"/>
      <c r="C8" s="635"/>
      <c r="D8" s="635"/>
      <c r="E8" s="11">
        <v>1</v>
      </c>
      <c r="F8" s="11">
        <f t="shared" ref="F8:AG8" si="2">ROUND(E8*(1+F7),2)</f>
        <v>1.03</v>
      </c>
      <c r="G8" s="11">
        <f t="shared" si="2"/>
        <v>1.05</v>
      </c>
      <c r="H8" s="11">
        <f t="shared" si="2"/>
        <v>1.07</v>
      </c>
      <c r="I8" s="11">
        <f>ROUND(H8*(1+I7),2)</f>
        <v>1.0900000000000001</v>
      </c>
      <c r="J8" s="11">
        <f t="shared" si="2"/>
        <v>1.1100000000000001</v>
      </c>
      <c r="K8" s="11">
        <f t="shared" si="2"/>
        <v>1.1299999999999999</v>
      </c>
      <c r="L8" s="11">
        <f t="shared" si="2"/>
        <v>1.1499999999999999</v>
      </c>
      <c r="M8" s="11">
        <f t="shared" si="2"/>
        <v>1.17</v>
      </c>
      <c r="N8" s="11">
        <f t="shared" si="2"/>
        <v>1.19</v>
      </c>
      <c r="O8" s="11">
        <f t="shared" si="2"/>
        <v>1.21</v>
      </c>
      <c r="P8" s="11">
        <f t="shared" si="2"/>
        <v>1.23</v>
      </c>
      <c r="Q8" s="11">
        <f t="shared" si="2"/>
        <v>1.25</v>
      </c>
      <c r="R8" s="11">
        <f t="shared" si="2"/>
        <v>1.28</v>
      </c>
      <c r="S8" s="11">
        <f t="shared" si="2"/>
        <v>1.31</v>
      </c>
      <c r="T8" s="11">
        <f t="shared" si="2"/>
        <v>1.34</v>
      </c>
      <c r="U8" s="11">
        <f t="shared" si="2"/>
        <v>1.37</v>
      </c>
      <c r="V8" s="11">
        <f t="shared" si="2"/>
        <v>1.4</v>
      </c>
      <c r="W8" s="11">
        <f t="shared" si="2"/>
        <v>1.43</v>
      </c>
      <c r="X8" s="11">
        <f t="shared" si="2"/>
        <v>1.46</v>
      </c>
      <c r="Y8" s="11">
        <f t="shared" si="2"/>
        <v>1.49</v>
      </c>
      <c r="Z8" s="11">
        <f t="shared" si="2"/>
        <v>1.52</v>
      </c>
      <c r="AA8" s="11">
        <f t="shared" si="2"/>
        <v>1.55</v>
      </c>
      <c r="AB8" s="11">
        <f t="shared" si="2"/>
        <v>1.58</v>
      </c>
      <c r="AC8" s="11">
        <f t="shared" si="2"/>
        <v>1.61</v>
      </c>
      <c r="AD8" s="11">
        <f t="shared" si="2"/>
        <v>1.64</v>
      </c>
      <c r="AE8" s="11">
        <f t="shared" si="2"/>
        <v>1.67</v>
      </c>
      <c r="AF8" s="11">
        <f t="shared" si="2"/>
        <v>1.7</v>
      </c>
      <c r="AG8" s="11">
        <f t="shared" si="2"/>
        <v>1.73</v>
      </c>
      <c r="AH8" s="11">
        <f>ROUND(AG8*(1+AH7),2)</f>
        <v>1.76</v>
      </c>
      <c r="AI8" s="11">
        <f>ROUND(AH8*(1+AI7),2)</f>
        <v>1.8</v>
      </c>
      <c r="AJ8" s="11">
        <f>ROUND(AI8*(1+AJ7),2)</f>
        <v>1.84</v>
      </c>
      <c r="AK8" s="11">
        <f>ROUND(AJ8*(1+AK7),2)</f>
        <v>1.88</v>
      </c>
      <c r="AL8" s="11">
        <f>ROUND(AK8*(1+AL7),2)</f>
        <v>1.92</v>
      </c>
    </row>
    <row r="9" spans="1:38" s="902" customFormat="1" ht="12.75" x14ac:dyDescent="0.2">
      <c r="A9" s="312" t="s">
        <v>267</v>
      </c>
      <c r="B9" s="903"/>
      <c r="C9" s="903"/>
      <c r="D9" s="903"/>
      <c r="E9" s="103">
        <v>4.5999999999999999E-2</v>
      </c>
      <c r="F9" s="103">
        <v>3.4000000000000002E-2</v>
      </c>
      <c r="G9" s="103">
        <v>2.8000000000000001E-2</v>
      </c>
      <c r="H9" s="103">
        <v>2.9000000000000001E-2</v>
      </c>
      <c r="I9" s="103">
        <v>2.1000000000000001E-2</v>
      </c>
      <c r="J9" s="103">
        <v>2.1000000000000001E-2</v>
      </c>
      <c r="K9" s="103">
        <v>2.1000000000000001E-2</v>
      </c>
      <c r="L9" s="103">
        <v>2.1000000000000001E-2</v>
      </c>
      <c r="M9" s="103">
        <v>2.1000000000000001E-2</v>
      </c>
      <c r="N9" s="103">
        <v>2.1000000000000001E-2</v>
      </c>
      <c r="O9" s="103">
        <v>2.1000000000000001E-2</v>
      </c>
      <c r="P9" s="103">
        <v>2.1000000000000001E-2</v>
      </c>
      <c r="Q9" s="103">
        <v>2.1000000000000001E-2</v>
      </c>
      <c r="R9" s="103">
        <v>2.1000000000000001E-2</v>
      </c>
      <c r="S9" s="103">
        <v>2.1000000000000001E-2</v>
      </c>
      <c r="T9" s="103">
        <v>2.1000000000000001E-2</v>
      </c>
      <c r="U9" s="103">
        <v>2.1000000000000001E-2</v>
      </c>
      <c r="V9" s="103">
        <v>2.1000000000000001E-2</v>
      </c>
      <c r="W9" s="103">
        <v>2.1000000000000001E-2</v>
      </c>
      <c r="X9" s="103">
        <v>2.1000000000000001E-2</v>
      </c>
      <c r="Y9" s="103">
        <v>2.1000000000000001E-2</v>
      </c>
      <c r="Z9" s="103">
        <v>2.1000000000000001E-2</v>
      </c>
      <c r="AA9" s="103">
        <v>2.1000000000000001E-2</v>
      </c>
      <c r="AB9" s="103">
        <v>2.1000000000000001E-2</v>
      </c>
      <c r="AC9" s="103">
        <v>2.1000000000000001E-2</v>
      </c>
      <c r="AD9" s="103">
        <v>2.1000000000000001E-2</v>
      </c>
      <c r="AE9" s="103">
        <v>2.1000000000000001E-2</v>
      </c>
      <c r="AF9" s="103">
        <v>2.1000000000000001E-2</v>
      </c>
      <c r="AG9" s="103">
        <v>2.1000000000000001E-2</v>
      </c>
      <c r="AH9" s="103">
        <v>2.1000000000000001E-2</v>
      </c>
      <c r="AI9" s="103">
        <v>2.1000000000000001E-2</v>
      </c>
      <c r="AJ9" s="103">
        <v>2.1000000000000001E-2</v>
      </c>
      <c r="AK9" s="103">
        <f>AJ9</f>
        <v>2.1000000000000001E-2</v>
      </c>
      <c r="AL9" s="103">
        <f>AK9</f>
        <v>2.1000000000000001E-2</v>
      </c>
    </row>
    <row r="10" spans="1:38" s="183" customFormat="1" ht="12.75" x14ac:dyDescent="0.2">
      <c r="A10" s="310" t="s">
        <v>48</v>
      </c>
      <c r="B10" s="634"/>
      <c r="C10" s="635"/>
      <c r="D10" s="635"/>
      <c r="E10" s="11">
        <v>1</v>
      </c>
      <c r="F10" s="11">
        <f t="shared" ref="F10:AG10" si="3">ROUND(E10*(1+F9),2)</f>
        <v>1.03</v>
      </c>
      <c r="G10" s="11">
        <f>ROUND(F10*(1+G9),2)</f>
        <v>1.06</v>
      </c>
      <c r="H10" s="11">
        <f t="shared" si="3"/>
        <v>1.0900000000000001</v>
      </c>
      <c r="I10" s="11">
        <f t="shared" si="3"/>
        <v>1.1100000000000001</v>
      </c>
      <c r="J10" s="11">
        <f t="shared" si="3"/>
        <v>1.1299999999999999</v>
      </c>
      <c r="K10" s="11">
        <f t="shared" si="3"/>
        <v>1.1499999999999999</v>
      </c>
      <c r="L10" s="11">
        <f t="shared" si="3"/>
        <v>1.17</v>
      </c>
      <c r="M10" s="11">
        <f t="shared" si="3"/>
        <v>1.19</v>
      </c>
      <c r="N10" s="11">
        <f t="shared" si="3"/>
        <v>1.21</v>
      </c>
      <c r="O10" s="11">
        <f t="shared" si="3"/>
        <v>1.24</v>
      </c>
      <c r="P10" s="11">
        <f t="shared" si="3"/>
        <v>1.27</v>
      </c>
      <c r="Q10" s="11">
        <f t="shared" si="3"/>
        <v>1.3</v>
      </c>
      <c r="R10" s="11">
        <f t="shared" si="3"/>
        <v>1.33</v>
      </c>
      <c r="S10" s="11">
        <f t="shared" si="3"/>
        <v>1.36</v>
      </c>
      <c r="T10" s="11">
        <f t="shared" si="3"/>
        <v>1.39</v>
      </c>
      <c r="U10" s="11">
        <f t="shared" si="3"/>
        <v>1.42</v>
      </c>
      <c r="V10" s="11">
        <f t="shared" si="3"/>
        <v>1.45</v>
      </c>
      <c r="W10" s="11">
        <f t="shared" si="3"/>
        <v>1.48</v>
      </c>
      <c r="X10" s="11">
        <f t="shared" si="3"/>
        <v>1.51</v>
      </c>
      <c r="Y10" s="11">
        <f t="shared" si="3"/>
        <v>1.54</v>
      </c>
      <c r="Z10" s="11">
        <f t="shared" si="3"/>
        <v>1.57</v>
      </c>
      <c r="AA10" s="11">
        <f t="shared" si="3"/>
        <v>1.6</v>
      </c>
      <c r="AB10" s="11">
        <f t="shared" si="3"/>
        <v>1.63</v>
      </c>
      <c r="AC10" s="11">
        <f t="shared" si="3"/>
        <v>1.66</v>
      </c>
      <c r="AD10" s="11">
        <f t="shared" si="3"/>
        <v>1.69</v>
      </c>
      <c r="AE10" s="11">
        <f t="shared" si="3"/>
        <v>1.73</v>
      </c>
      <c r="AF10" s="11">
        <f t="shared" si="3"/>
        <v>1.77</v>
      </c>
      <c r="AG10" s="11">
        <f t="shared" si="3"/>
        <v>1.81</v>
      </c>
      <c r="AH10" s="11">
        <f>ROUND(AG10*(1+AH9),2)</f>
        <v>1.85</v>
      </c>
      <c r="AI10" s="11">
        <f>ROUND(AH10*(1+AI9),2)</f>
        <v>1.89</v>
      </c>
      <c r="AJ10" s="11">
        <f>ROUND(AI10*(1+AJ9),2)</f>
        <v>1.93</v>
      </c>
      <c r="AK10" s="11">
        <f>ROUND(AJ10*(1+AK9),2)</f>
        <v>1.97</v>
      </c>
      <c r="AL10" s="11">
        <f>ROUND(AK10*(1+AL9),2)</f>
        <v>2.0099999999999998</v>
      </c>
    </row>
    <row r="11" spans="1:38" s="902" customFormat="1" ht="12.75" x14ac:dyDescent="0.2">
      <c r="A11" s="312" t="s">
        <v>49</v>
      </c>
      <c r="B11" s="903"/>
      <c r="C11" s="903"/>
      <c r="D11" s="903"/>
      <c r="E11" s="103">
        <v>2.4E-2</v>
      </c>
      <c r="F11" s="103">
        <v>2.1999999999999999E-2</v>
      </c>
      <c r="G11" s="103">
        <v>1.9E-2</v>
      </c>
      <c r="H11" s="103">
        <v>1.9E-2</v>
      </c>
      <c r="I11" s="103">
        <v>0.02</v>
      </c>
      <c r="J11" s="103">
        <v>0.02</v>
      </c>
      <c r="K11" s="103">
        <v>0.02</v>
      </c>
      <c r="L11" s="103">
        <v>0.02</v>
      </c>
      <c r="M11" s="103">
        <v>0.02</v>
      </c>
      <c r="N11" s="103">
        <v>0.02</v>
      </c>
      <c r="O11" s="103">
        <v>0.02</v>
      </c>
      <c r="P11" s="103">
        <v>0.02</v>
      </c>
      <c r="Q11" s="103">
        <v>0.02</v>
      </c>
      <c r="R11" s="103">
        <v>0.02</v>
      </c>
      <c r="S11" s="103">
        <v>0.02</v>
      </c>
      <c r="T11" s="103">
        <v>0.02</v>
      </c>
      <c r="U11" s="103">
        <v>0.02</v>
      </c>
      <c r="V11" s="103">
        <v>0.02</v>
      </c>
      <c r="W11" s="103">
        <v>0.02</v>
      </c>
      <c r="X11" s="103">
        <v>0.02</v>
      </c>
      <c r="Y11" s="103">
        <v>0.02</v>
      </c>
      <c r="Z11" s="103">
        <v>0.02</v>
      </c>
      <c r="AA11" s="103">
        <v>0.02</v>
      </c>
      <c r="AB11" s="103">
        <v>0.02</v>
      </c>
      <c r="AC11" s="103">
        <v>0.02</v>
      </c>
      <c r="AD11" s="103">
        <v>0.02</v>
      </c>
      <c r="AE11" s="103">
        <v>0.02</v>
      </c>
      <c r="AF11" s="103">
        <v>0.02</v>
      </c>
      <c r="AG11" s="103">
        <v>0.02</v>
      </c>
      <c r="AH11" s="103">
        <v>0.02</v>
      </c>
      <c r="AI11" s="103">
        <v>0.02</v>
      </c>
      <c r="AJ11" s="103">
        <v>0.02</v>
      </c>
      <c r="AK11" s="103">
        <f>AJ11</f>
        <v>0.02</v>
      </c>
      <c r="AL11" s="103">
        <f>AK11</f>
        <v>0.02</v>
      </c>
    </row>
    <row r="12" spans="1:38" s="183" customFormat="1" ht="12.75" x14ac:dyDescent="0.2">
      <c r="A12" s="310" t="s">
        <v>48</v>
      </c>
      <c r="B12" s="636"/>
      <c r="C12" s="637"/>
      <c r="D12" s="638"/>
      <c r="E12" s="11">
        <v>1</v>
      </c>
      <c r="F12" s="11">
        <f t="shared" ref="F12:AG12" si="4">ROUND(E12*(1+F11),2)</f>
        <v>1.02</v>
      </c>
      <c r="G12" s="11">
        <f t="shared" si="4"/>
        <v>1.04</v>
      </c>
      <c r="H12" s="11">
        <f t="shared" si="4"/>
        <v>1.06</v>
      </c>
      <c r="I12" s="11">
        <f t="shared" si="4"/>
        <v>1.08</v>
      </c>
      <c r="J12" s="11">
        <f t="shared" si="4"/>
        <v>1.1000000000000001</v>
      </c>
      <c r="K12" s="11">
        <f t="shared" si="4"/>
        <v>1.1200000000000001</v>
      </c>
      <c r="L12" s="11">
        <f t="shared" si="4"/>
        <v>1.1399999999999999</v>
      </c>
      <c r="M12" s="11">
        <f t="shared" si="4"/>
        <v>1.1599999999999999</v>
      </c>
      <c r="N12" s="11">
        <f t="shared" si="4"/>
        <v>1.18</v>
      </c>
      <c r="O12" s="11">
        <f t="shared" si="4"/>
        <v>1.2</v>
      </c>
      <c r="P12" s="11">
        <f t="shared" si="4"/>
        <v>1.22</v>
      </c>
      <c r="Q12" s="11">
        <f t="shared" si="4"/>
        <v>1.24</v>
      </c>
      <c r="R12" s="11">
        <f t="shared" si="4"/>
        <v>1.26</v>
      </c>
      <c r="S12" s="11">
        <f t="shared" si="4"/>
        <v>1.29</v>
      </c>
      <c r="T12" s="11">
        <f t="shared" si="4"/>
        <v>1.32</v>
      </c>
      <c r="U12" s="11">
        <f t="shared" si="4"/>
        <v>1.35</v>
      </c>
      <c r="V12" s="11">
        <f t="shared" si="4"/>
        <v>1.38</v>
      </c>
      <c r="W12" s="11">
        <f t="shared" si="4"/>
        <v>1.41</v>
      </c>
      <c r="X12" s="11">
        <f t="shared" si="4"/>
        <v>1.44</v>
      </c>
      <c r="Y12" s="11">
        <f t="shared" si="4"/>
        <v>1.47</v>
      </c>
      <c r="Z12" s="11">
        <f t="shared" si="4"/>
        <v>1.5</v>
      </c>
      <c r="AA12" s="11">
        <f t="shared" si="4"/>
        <v>1.53</v>
      </c>
      <c r="AB12" s="11">
        <f t="shared" si="4"/>
        <v>1.56</v>
      </c>
      <c r="AC12" s="11">
        <f t="shared" si="4"/>
        <v>1.59</v>
      </c>
      <c r="AD12" s="11">
        <f t="shared" si="4"/>
        <v>1.62</v>
      </c>
      <c r="AE12" s="11">
        <f t="shared" si="4"/>
        <v>1.65</v>
      </c>
      <c r="AF12" s="11">
        <f t="shared" si="4"/>
        <v>1.68</v>
      </c>
      <c r="AG12" s="11">
        <f t="shared" si="4"/>
        <v>1.71</v>
      </c>
      <c r="AH12" s="11">
        <f>ROUND(AG12*(1+AH11),2)</f>
        <v>1.74</v>
      </c>
      <c r="AI12" s="11">
        <f>ROUND(AH12*(1+AI11),2)</f>
        <v>1.77</v>
      </c>
      <c r="AJ12" s="11">
        <f>ROUND(AI12*(1+AJ11),2)</f>
        <v>1.81</v>
      </c>
      <c r="AK12" s="11">
        <f>ROUND(AJ12*(1+AK11),2)</f>
        <v>1.85</v>
      </c>
      <c r="AL12" s="11">
        <f>ROUND(AK12*(1+AL11),2)</f>
        <v>1.89</v>
      </c>
    </row>
    <row r="13" spans="1:38" s="900" customFormat="1" ht="12.75" x14ac:dyDescent="0.2">
      <c r="A13" s="310" t="s">
        <v>50</v>
      </c>
      <c r="B13" s="904"/>
      <c r="C13" s="904"/>
      <c r="D13" s="904"/>
      <c r="E13" s="325">
        <v>0.21</v>
      </c>
      <c r="F13" s="325">
        <f t="shared" ref="F13:AG13" si="5">E13</f>
        <v>0.21</v>
      </c>
      <c r="G13" s="325">
        <f t="shared" si="5"/>
        <v>0.21</v>
      </c>
      <c r="H13" s="325">
        <f t="shared" si="5"/>
        <v>0.21</v>
      </c>
      <c r="I13" s="325">
        <f t="shared" si="5"/>
        <v>0.21</v>
      </c>
      <c r="J13" s="325">
        <f t="shared" si="5"/>
        <v>0.21</v>
      </c>
      <c r="K13" s="325">
        <f t="shared" si="5"/>
        <v>0.21</v>
      </c>
      <c r="L13" s="325">
        <f t="shared" si="5"/>
        <v>0.21</v>
      </c>
      <c r="M13" s="325">
        <f t="shared" si="5"/>
        <v>0.21</v>
      </c>
      <c r="N13" s="325">
        <f t="shared" si="5"/>
        <v>0.21</v>
      </c>
      <c r="O13" s="325">
        <f t="shared" si="5"/>
        <v>0.21</v>
      </c>
      <c r="P13" s="325">
        <f t="shared" si="5"/>
        <v>0.21</v>
      </c>
      <c r="Q13" s="325">
        <f t="shared" si="5"/>
        <v>0.21</v>
      </c>
      <c r="R13" s="325">
        <f t="shared" si="5"/>
        <v>0.21</v>
      </c>
      <c r="S13" s="325">
        <f t="shared" si="5"/>
        <v>0.21</v>
      </c>
      <c r="T13" s="325">
        <f t="shared" si="5"/>
        <v>0.21</v>
      </c>
      <c r="U13" s="325">
        <f t="shared" si="5"/>
        <v>0.21</v>
      </c>
      <c r="V13" s="325">
        <f t="shared" si="5"/>
        <v>0.21</v>
      </c>
      <c r="W13" s="325">
        <f t="shared" si="5"/>
        <v>0.21</v>
      </c>
      <c r="X13" s="325">
        <f t="shared" si="5"/>
        <v>0.21</v>
      </c>
      <c r="Y13" s="325">
        <f t="shared" si="5"/>
        <v>0.21</v>
      </c>
      <c r="Z13" s="325">
        <f t="shared" si="5"/>
        <v>0.21</v>
      </c>
      <c r="AA13" s="325">
        <f t="shared" si="5"/>
        <v>0.21</v>
      </c>
      <c r="AB13" s="325">
        <f t="shared" si="5"/>
        <v>0.21</v>
      </c>
      <c r="AC13" s="325">
        <f t="shared" si="5"/>
        <v>0.21</v>
      </c>
      <c r="AD13" s="325">
        <f t="shared" si="5"/>
        <v>0.21</v>
      </c>
      <c r="AE13" s="325">
        <f t="shared" si="5"/>
        <v>0.21</v>
      </c>
      <c r="AF13" s="325">
        <f t="shared" si="5"/>
        <v>0.21</v>
      </c>
      <c r="AG13" s="325">
        <f t="shared" si="5"/>
        <v>0.21</v>
      </c>
      <c r="AH13" s="325">
        <f>AG13</f>
        <v>0.21</v>
      </c>
      <c r="AI13" s="325">
        <f>AH13</f>
        <v>0.21</v>
      </c>
      <c r="AJ13" s="325">
        <f>AI13</f>
        <v>0.21</v>
      </c>
      <c r="AK13" s="325">
        <f>AJ13</f>
        <v>0.21</v>
      </c>
      <c r="AL13" s="325">
        <f>AK13</f>
        <v>0.21</v>
      </c>
    </row>
    <row r="14" spans="1:38" s="900" customFormat="1" ht="12.75" x14ac:dyDescent="0.2">
      <c r="A14" s="310" t="s">
        <v>51</v>
      </c>
      <c r="B14" s="905"/>
      <c r="C14" s="905"/>
      <c r="D14" s="905"/>
      <c r="E14" s="103">
        <v>0.2409</v>
      </c>
      <c r="F14" s="103">
        <v>0.2409</v>
      </c>
      <c r="G14" s="103">
        <v>0.2409</v>
      </c>
      <c r="H14" s="103">
        <v>0.2409</v>
      </c>
      <c r="I14" s="103">
        <v>0.2409</v>
      </c>
      <c r="J14" s="103">
        <v>0.2409</v>
      </c>
      <c r="K14" s="103">
        <v>0.2409</v>
      </c>
      <c r="L14" s="103">
        <v>0.2409</v>
      </c>
      <c r="M14" s="103">
        <v>0.2409</v>
      </c>
      <c r="N14" s="103">
        <v>0.2409</v>
      </c>
      <c r="O14" s="103">
        <v>0.2409</v>
      </c>
      <c r="P14" s="103">
        <v>0.2409</v>
      </c>
      <c r="Q14" s="103">
        <v>0.2409</v>
      </c>
      <c r="R14" s="103">
        <v>0.2409</v>
      </c>
      <c r="S14" s="103">
        <v>0.2409</v>
      </c>
      <c r="T14" s="103">
        <v>0.2409</v>
      </c>
      <c r="U14" s="103">
        <v>0.2409</v>
      </c>
      <c r="V14" s="103">
        <v>0.2409</v>
      </c>
      <c r="W14" s="103">
        <v>0.2409</v>
      </c>
      <c r="X14" s="103">
        <v>0.2409</v>
      </c>
      <c r="Y14" s="103">
        <v>0.2409</v>
      </c>
      <c r="Z14" s="103">
        <v>0.2409</v>
      </c>
      <c r="AA14" s="103">
        <v>0.2409</v>
      </c>
      <c r="AB14" s="103">
        <v>0.2409</v>
      </c>
      <c r="AC14" s="103">
        <v>0.2409</v>
      </c>
      <c r="AD14" s="103">
        <v>0.2409</v>
      </c>
      <c r="AE14" s="103">
        <v>0.2409</v>
      </c>
      <c r="AF14" s="103">
        <v>0.2409</v>
      </c>
      <c r="AG14" s="103">
        <v>0.2409</v>
      </c>
      <c r="AH14" s="103">
        <v>0.2409</v>
      </c>
      <c r="AI14" s="103">
        <v>0.2409</v>
      </c>
      <c r="AJ14" s="103">
        <v>0.2409</v>
      </c>
      <c r="AK14" s="103">
        <v>0.2409</v>
      </c>
      <c r="AL14" s="103">
        <v>0.2409</v>
      </c>
    </row>
    <row r="15" spans="1:38" s="900" customFormat="1" ht="12.75" x14ac:dyDescent="0.2">
      <c r="A15" s="313" t="s">
        <v>52</v>
      </c>
      <c r="B15" s="904"/>
      <c r="C15" s="904"/>
      <c r="D15" s="904"/>
      <c r="E15" s="325">
        <v>0.2</v>
      </c>
      <c r="F15" s="325">
        <v>0.2</v>
      </c>
      <c r="G15" s="325">
        <v>0.2</v>
      </c>
      <c r="H15" s="325">
        <v>0.2</v>
      </c>
      <c r="I15" s="325">
        <v>0.2</v>
      </c>
      <c r="J15" s="325">
        <v>0.2</v>
      </c>
      <c r="K15" s="325">
        <v>0.2</v>
      </c>
      <c r="L15" s="325">
        <v>0.2</v>
      </c>
      <c r="M15" s="325">
        <v>0.2</v>
      </c>
      <c r="N15" s="325">
        <v>0.2</v>
      </c>
      <c r="O15" s="325">
        <v>0.2</v>
      </c>
      <c r="P15" s="325">
        <v>0.2</v>
      </c>
      <c r="Q15" s="325">
        <v>0.2</v>
      </c>
      <c r="R15" s="325">
        <v>0.2</v>
      </c>
      <c r="S15" s="325">
        <v>0.2</v>
      </c>
      <c r="T15" s="325">
        <v>0.2</v>
      </c>
      <c r="U15" s="325">
        <v>0.2</v>
      </c>
      <c r="V15" s="325">
        <v>0.2</v>
      </c>
      <c r="W15" s="325">
        <v>0.2</v>
      </c>
      <c r="X15" s="325">
        <v>0.2</v>
      </c>
      <c r="Y15" s="325">
        <v>0.2</v>
      </c>
      <c r="Z15" s="325">
        <v>0.2</v>
      </c>
      <c r="AA15" s="325">
        <v>0.2</v>
      </c>
      <c r="AB15" s="325">
        <v>0.2</v>
      </c>
      <c r="AC15" s="325">
        <v>0.2</v>
      </c>
      <c r="AD15" s="325">
        <v>0.2</v>
      </c>
      <c r="AE15" s="325">
        <v>0.2</v>
      </c>
      <c r="AF15" s="325">
        <v>0.2</v>
      </c>
      <c r="AG15" s="325">
        <v>0.2</v>
      </c>
      <c r="AH15" s="325">
        <v>0.2</v>
      </c>
      <c r="AI15" s="325">
        <v>0.2</v>
      </c>
      <c r="AJ15" s="325">
        <v>0.2</v>
      </c>
      <c r="AK15" s="325">
        <v>0.2</v>
      </c>
      <c r="AL15" s="325">
        <v>0.2</v>
      </c>
    </row>
    <row r="16" spans="1:38" s="900" customFormat="1" ht="12.75" x14ac:dyDescent="0.2">
      <c r="A16" s="314" t="s">
        <v>268</v>
      </c>
      <c r="B16" s="38">
        <v>7.3999999999999996E-2</v>
      </c>
      <c r="C16" s="311"/>
      <c r="D16" s="311"/>
      <c r="E16" s="901"/>
      <c r="F16" s="901"/>
      <c r="G16" s="901"/>
      <c r="H16" s="901"/>
      <c r="I16" s="901"/>
      <c r="J16" s="901"/>
      <c r="K16" s="901"/>
      <c r="L16" s="901"/>
      <c r="M16" s="901"/>
      <c r="N16" s="901"/>
      <c r="O16" s="901"/>
      <c r="P16" s="901"/>
      <c r="Q16" s="901"/>
      <c r="R16" s="901"/>
      <c r="S16" s="901"/>
      <c r="T16" s="901"/>
      <c r="U16" s="901"/>
      <c r="V16" s="901"/>
      <c r="W16" s="901"/>
      <c r="X16" s="901"/>
      <c r="Y16" s="901"/>
      <c r="Z16" s="901"/>
      <c r="AA16" s="901"/>
      <c r="AB16" s="901"/>
      <c r="AC16" s="901"/>
      <c r="AD16" s="901"/>
      <c r="AE16" s="901"/>
      <c r="AF16" s="901"/>
      <c r="AG16" s="901"/>
      <c r="AH16" s="901"/>
      <c r="AI16" s="901"/>
      <c r="AJ16" s="901"/>
      <c r="AK16" s="901"/>
      <c r="AL16" s="901"/>
    </row>
    <row r="17" spans="1:38" s="900" customFormat="1" ht="12.75" x14ac:dyDescent="0.2">
      <c r="A17" s="314" t="str">
        <f>A20</f>
        <v>Nominālā ekonomiskā diskonta likme</v>
      </c>
      <c r="B17" s="38">
        <v>6.4000000000000001E-2</v>
      </c>
      <c r="C17" s="311"/>
      <c r="D17" s="311"/>
      <c r="E17" s="901"/>
      <c r="F17" s="901"/>
      <c r="G17" s="901"/>
      <c r="H17" s="901"/>
      <c r="I17" s="901"/>
      <c r="J17" s="901"/>
      <c r="K17" s="901"/>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1"/>
      <c r="AI17" s="901"/>
      <c r="AJ17" s="901"/>
      <c r="AK17" s="901"/>
      <c r="AL17" s="901"/>
    </row>
    <row r="18" spans="1:38" s="900" customFormat="1" ht="12.75" x14ac:dyDescent="0.2">
      <c r="A18" s="315" t="s">
        <v>226</v>
      </c>
      <c r="B18" s="906"/>
      <c r="C18" s="306"/>
      <c r="D18" s="306"/>
      <c r="E18" s="326">
        <v>0.21</v>
      </c>
      <c r="F18" s="326">
        <f t="shared" ref="F18:AH18" si="6">E18</f>
        <v>0.21</v>
      </c>
      <c r="G18" s="326">
        <f t="shared" si="6"/>
        <v>0.21</v>
      </c>
      <c r="H18" s="326">
        <f t="shared" si="6"/>
        <v>0.21</v>
      </c>
      <c r="I18" s="326">
        <f t="shared" si="6"/>
        <v>0.21</v>
      </c>
      <c r="J18" s="326">
        <f t="shared" si="6"/>
        <v>0.21</v>
      </c>
      <c r="K18" s="326">
        <f t="shared" si="6"/>
        <v>0.21</v>
      </c>
      <c r="L18" s="326">
        <f t="shared" si="6"/>
        <v>0.21</v>
      </c>
      <c r="M18" s="326">
        <f t="shared" si="6"/>
        <v>0.21</v>
      </c>
      <c r="N18" s="326">
        <f t="shared" si="6"/>
        <v>0.21</v>
      </c>
      <c r="O18" s="326">
        <f t="shared" si="6"/>
        <v>0.21</v>
      </c>
      <c r="P18" s="326">
        <f t="shared" si="6"/>
        <v>0.21</v>
      </c>
      <c r="Q18" s="326">
        <f t="shared" si="6"/>
        <v>0.21</v>
      </c>
      <c r="R18" s="326">
        <f t="shared" si="6"/>
        <v>0.21</v>
      </c>
      <c r="S18" s="326">
        <f t="shared" si="6"/>
        <v>0.21</v>
      </c>
      <c r="T18" s="326">
        <f t="shared" si="6"/>
        <v>0.21</v>
      </c>
      <c r="U18" s="326">
        <f t="shared" si="6"/>
        <v>0.21</v>
      </c>
      <c r="V18" s="326">
        <f t="shared" si="6"/>
        <v>0.21</v>
      </c>
      <c r="W18" s="326">
        <f t="shared" si="6"/>
        <v>0.21</v>
      </c>
      <c r="X18" s="326">
        <f t="shared" si="6"/>
        <v>0.21</v>
      </c>
      <c r="Y18" s="326">
        <f t="shared" si="6"/>
        <v>0.21</v>
      </c>
      <c r="Z18" s="326">
        <f t="shared" si="6"/>
        <v>0.21</v>
      </c>
      <c r="AA18" s="326">
        <f t="shared" si="6"/>
        <v>0.21</v>
      </c>
      <c r="AB18" s="326">
        <f t="shared" si="6"/>
        <v>0.21</v>
      </c>
      <c r="AC18" s="326">
        <f t="shared" si="6"/>
        <v>0.21</v>
      </c>
      <c r="AD18" s="326">
        <f t="shared" si="6"/>
        <v>0.21</v>
      </c>
      <c r="AE18" s="326">
        <f t="shared" si="6"/>
        <v>0.21</v>
      </c>
      <c r="AF18" s="326">
        <f t="shared" si="6"/>
        <v>0.21</v>
      </c>
      <c r="AG18" s="326">
        <f t="shared" si="6"/>
        <v>0.21</v>
      </c>
      <c r="AH18" s="326">
        <f t="shared" si="6"/>
        <v>0.21</v>
      </c>
      <c r="AI18" s="326">
        <f>AH18</f>
        <v>0.21</v>
      </c>
      <c r="AJ18" s="326">
        <f>AI18</f>
        <v>0.21</v>
      </c>
      <c r="AK18" s="326">
        <f>AJ18</f>
        <v>0.21</v>
      </c>
      <c r="AL18" s="326">
        <f>AK18</f>
        <v>0.21</v>
      </c>
    </row>
    <row r="19" spans="1:38" s="900" customFormat="1" ht="12.75" x14ac:dyDescent="0.2">
      <c r="A19" s="316" t="s">
        <v>246</v>
      </c>
      <c r="B19" s="907"/>
    </row>
    <row r="20" spans="1:38" s="900" customFormat="1" ht="12.75" x14ac:dyDescent="0.2">
      <c r="A20" s="317" t="s">
        <v>245</v>
      </c>
      <c r="B20" s="908">
        <f>B17</f>
        <v>6.4000000000000001E-2</v>
      </c>
    </row>
    <row r="21" spans="1:38" x14ac:dyDescent="0.2">
      <c r="A21" s="305"/>
    </row>
    <row r="22" spans="1:38" x14ac:dyDescent="0.2">
      <c r="A22" s="305"/>
    </row>
    <row r="23" spans="1:38" ht="15" x14ac:dyDescent="0.2">
      <c r="A23" s="318" t="s">
        <v>359</v>
      </c>
      <c r="B23" s="119"/>
    </row>
    <row r="24" spans="1:38" ht="12.75" x14ac:dyDescent="0.2">
      <c r="A24" s="319" t="s">
        <v>5</v>
      </c>
      <c r="B24" s="320"/>
    </row>
    <row r="25" spans="1:38" ht="12.75" x14ac:dyDescent="0.2">
      <c r="A25" s="120" t="s">
        <v>6</v>
      </c>
      <c r="B25" s="321">
        <v>50</v>
      </c>
    </row>
    <row r="26" spans="1:38" ht="12.75" x14ac:dyDescent="0.2">
      <c r="A26" s="120" t="s">
        <v>7</v>
      </c>
      <c r="B26" s="321">
        <v>50</v>
      </c>
    </row>
    <row r="27" spans="1:38" ht="12.75" x14ac:dyDescent="0.2">
      <c r="A27" s="120" t="s">
        <v>8</v>
      </c>
      <c r="B27" s="321">
        <v>50</v>
      </c>
    </row>
    <row r="28" spans="1:38" ht="12.75" x14ac:dyDescent="0.2">
      <c r="A28" s="120" t="s">
        <v>543</v>
      </c>
      <c r="B28" s="321">
        <v>10</v>
      </c>
    </row>
    <row r="29" spans="1:38" ht="12.75" x14ac:dyDescent="0.2">
      <c r="A29" s="322" t="s">
        <v>10</v>
      </c>
      <c r="B29" s="321">
        <v>10</v>
      </c>
    </row>
    <row r="30" spans="1:38" ht="12.75" x14ac:dyDescent="0.2">
      <c r="A30" s="120" t="s">
        <v>12</v>
      </c>
      <c r="B30" s="323">
        <v>30</v>
      </c>
    </row>
    <row r="31" spans="1:38" ht="12.75" x14ac:dyDescent="0.2">
      <c r="A31" s="322" t="s">
        <v>305</v>
      </c>
      <c r="B31" s="29">
        <f>'Datu ievade'!B14+B30</f>
        <v>2050</v>
      </c>
    </row>
    <row r="32" spans="1:38" ht="12.75" x14ac:dyDescent="0.2">
      <c r="A32" s="120" t="s">
        <v>13</v>
      </c>
      <c r="B32" s="29">
        <f>B25-B30</f>
        <v>20</v>
      </c>
    </row>
    <row r="33" spans="1:2" x14ac:dyDescent="0.2">
      <c r="A33" s="305"/>
      <c r="B33" s="305"/>
    </row>
    <row r="34" spans="1:2" ht="12.75" x14ac:dyDescent="0.2">
      <c r="A34" s="132" t="s">
        <v>247</v>
      </c>
      <c r="B34" s="324">
        <v>0.85</v>
      </c>
    </row>
    <row r="35" spans="1:2" ht="12.75" x14ac:dyDescent="0.2">
      <c r="A35" s="120" t="s">
        <v>17</v>
      </c>
      <c r="B35" s="324">
        <f>'Datu ievade'!B159</f>
        <v>0</v>
      </c>
    </row>
  </sheetData>
  <sheetProtection algorithmName="SHA-512" hashValue="3RlcODgaD18EpLLBM4rnbcKZEOaIPtqLH+kYoVd128Y1En8APtAd/wtNMG3uSDB8wAIppWLtYTo3DgMLf9FHbw==" saltValue="h8Jf1AVz3YS5U9SWnob2cg==" spinCount="100000" sheet="1" objects="1" scenarios="1"/>
  <mergeCells count="1">
    <mergeCell ref="A2:D2"/>
  </mergeCells>
  <dataValidations count="2">
    <dataValidation type="whole" operator="greaterThan" allowBlank="1" showErrorMessage="1" error="Jāievada pozitīvs skaitlis" sqref="B25:B30">
      <formula1>0</formula1>
      <formula2>0</formula2>
    </dataValidation>
    <dataValidation type="decimal" operator="greaterThanOrEqual" allowBlank="1" showErrorMessage="1" error="Jāievada pozitīvs skaitlis" sqref="B35">
      <formula1>0</formula1>
      <formula2>0</formula2>
    </dataValidation>
  </dataValidation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AI33"/>
  <sheetViews>
    <sheetView workbookViewId="0">
      <selection activeCell="H30" sqref="H30"/>
    </sheetView>
  </sheetViews>
  <sheetFormatPr defaultColWidth="9.140625" defaultRowHeight="12.75" x14ac:dyDescent="0.2"/>
  <cols>
    <col min="1" max="1" width="45.28515625" style="601" customWidth="1"/>
    <col min="2" max="2" width="9.7109375" style="601" bestFit="1" customWidth="1"/>
    <col min="3" max="3" width="12.28515625" style="601" bestFit="1" customWidth="1"/>
    <col min="4" max="4" width="13.42578125" style="601" customWidth="1"/>
    <col min="5" max="5" width="12.5703125" style="601" customWidth="1"/>
    <col min="6" max="6" width="14.28515625" style="601" customWidth="1"/>
    <col min="7" max="35" width="10.140625" style="601" bestFit="1" customWidth="1"/>
    <col min="36" max="16384" width="9.140625" style="601"/>
  </cols>
  <sheetData>
    <row r="1" spans="1:35" ht="23.25" customHeight="1" x14ac:dyDescent="0.2">
      <c r="A1" s="1041" t="s">
        <v>561</v>
      </c>
      <c r="B1" s="1041"/>
      <c r="C1" s="1041"/>
      <c r="D1" s="1041"/>
      <c r="E1" s="1041"/>
      <c r="F1" s="1041"/>
    </row>
    <row r="2" spans="1:35" ht="14.25" customHeight="1" x14ac:dyDescent="0.2">
      <c r="A2" s="1040">
        <f>'Datu ievade'!B10</f>
        <v>0</v>
      </c>
      <c r="B2" s="1040"/>
      <c r="C2" s="1040">
        <f>'Datu ievade'!B11:G11</f>
        <v>0</v>
      </c>
      <c r="D2" s="1040"/>
      <c r="E2" s="1040"/>
      <c r="F2" s="1040"/>
    </row>
    <row r="4" spans="1:35" s="603" customFormat="1" ht="21.75" customHeight="1" x14ac:dyDescent="0.2">
      <c r="A4" s="602" t="s">
        <v>562</v>
      </c>
      <c r="B4" s="602">
        <f>Aprekini!B5</f>
        <v>2019</v>
      </c>
      <c r="C4" s="602">
        <f>Aprekini!C5</f>
        <v>2020</v>
      </c>
      <c r="D4" s="602">
        <f>Aprekini!D5</f>
        <v>2021</v>
      </c>
      <c r="E4" s="602">
        <f>Aprekini!E5</f>
        <v>2022</v>
      </c>
      <c r="F4" s="602">
        <f>Aprekini!F5</f>
        <v>2023</v>
      </c>
      <c r="G4" s="602">
        <f>Aprekini!G5</f>
        <v>2024</v>
      </c>
      <c r="H4" s="602">
        <f>Aprekini!H5</f>
        <v>2025</v>
      </c>
      <c r="I4" s="602">
        <f>Aprekini!I5</f>
        <v>2026</v>
      </c>
      <c r="J4" s="602">
        <f>Aprekini!J5</f>
        <v>2027</v>
      </c>
      <c r="K4" s="602">
        <f>Aprekini!K5</f>
        <v>2028</v>
      </c>
      <c r="L4" s="602">
        <f>Aprekini!L5</f>
        <v>2029</v>
      </c>
      <c r="M4" s="602">
        <f>Aprekini!M5</f>
        <v>2030</v>
      </c>
      <c r="N4" s="602">
        <f>Aprekini!N5</f>
        <v>2031</v>
      </c>
      <c r="O4" s="602">
        <f>Aprekini!O5</f>
        <v>2032</v>
      </c>
      <c r="P4" s="602">
        <f>Aprekini!P5</f>
        <v>2033</v>
      </c>
      <c r="Q4" s="602">
        <f>Aprekini!Q5</f>
        <v>2034</v>
      </c>
      <c r="R4" s="602">
        <f>Aprekini!R5</f>
        <v>2035</v>
      </c>
      <c r="S4" s="602">
        <f>Aprekini!S5</f>
        <v>2036</v>
      </c>
      <c r="T4" s="602">
        <f>Aprekini!T5</f>
        <v>2037</v>
      </c>
      <c r="U4" s="602">
        <f>Aprekini!U5</f>
        <v>2038</v>
      </c>
      <c r="V4" s="602">
        <f>Aprekini!V5</f>
        <v>2039</v>
      </c>
      <c r="W4" s="602">
        <f>Aprekini!W5</f>
        <v>2040</v>
      </c>
      <c r="X4" s="602">
        <f>Aprekini!X5</f>
        <v>2041</v>
      </c>
      <c r="Y4" s="602">
        <f>Aprekini!Y5</f>
        <v>2042</v>
      </c>
      <c r="Z4" s="602">
        <f>Aprekini!Z5</f>
        <v>2043</v>
      </c>
      <c r="AA4" s="602">
        <f>Aprekini!AA5</f>
        <v>2044</v>
      </c>
      <c r="AB4" s="602">
        <f>Aprekini!AB5</f>
        <v>2045</v>
      </c>
      <c r="AC4" s="602">
        <f>Aprekini!AC5</f>
        <v>2046</v>
      </c>
      <c r="AD4" s="602">
        <f>Aprekini!AD5</f>
        <v>2047</v>
      </c>
      <c r="AE4" s="602">
        <f>Aprekini!AE5</f>
        <v>2048</v>
      </c>
      <c r="AF4" s="602">
        <f>Aprekini!AF5</f>
        <v>2049</v>
      </c>
      <c r="AG4" s="602">
        <f>Aprekini!AG5</f>
        <v>2050</v>
      </c>
      <c r="AH4" s="602">
        <f>Aprekini!AH5</f>
        <v>2051</v>
      </c>
      <c r="AI4" s="602">
        <f>Aprekini!AI5</f>
        <v>2052</v>
      </c>
    </row>
    <row r="5" spans="1:35" s="605" customFormat="1" ht="15" customHeight="1" x14ac:dyDescent="0.2">
      <c r="A5" s="604"/>
      <c r="B5" s="604"/>
      <c r="C5" s="604"/>
      <c r="D5" s="604"/>
      <c r="E5" s="604"/>
      <c r="F5" s="604"/>
      <c r="G5" s="604"/>
      <c r="H5" s="604"/>
      <c r="I5" s="604"/>
      <c r="J5" s="604"/>
      <c r="K5" s="604"/>
      <c r="L5" s="604"/>
      <c r="M5" s="604"/>
      <c r="N5" s="604"/>
      <c r="O5" s="604"/>
      <c r="P5" s="604"/>
      <c r="Q5" s="604"/>
      <c r="R5" s="604"/>
      <c r="S5" s="604"/>
      <c r="T5" s="604"/>
      <c r="U5" s="604"/>
      <c r="V5" s="604"/>
      <c r="W5" s="604"/>
      <c r="X5" s="604"/>
      <c r="Y5" s="604"/>
      <c r="Z5" s="604"/>
      <c r="AA5" s="604"/>
      <c r="AB5" s="604"/>
      <c r="AC5" s="604"/>
      <c r="AD5" s="604"/>
      <c r="AE5" s="604"/>
      <c r="AF5" s="604"/>
      <c r="AG5" s="604"/>
      <c r="AH5" s="604"/>
      <c r="AI5" s="604"/>
    </row>
    <row r="6" spans="1:35" s="616" customFormat="1" ht="15.75" customHeight="1" x14ac:dyDescent="0.2">
      <c r="A6" s="615" t="s">
        <v>578</v>
      </c>
      <c r="B6" s="680"/>
      <c r="C6" s="680"/>
      <c r="D6" s="680"/>
      <c r="E6" s="680"/>
      <c r="F6" s="680"/>
      <c r="G6" s="680"/>
      <c r="H6" s="680"/>
      <c r="I6" s="680"/>
      <c r="J6" s="680"/>
      <c r="K6" s="680"/>
      <c r="L6" s="680"/>
      <c r="M6" s="680"/>
      <c r="N6" s="680"/>
      <c r="O6" s="680"/>
      <c r="P6" s="680"/>
      <c r="Q6" s="680"/>
      <c r="R6" s="680"/>
      <c r="S6" s="680"/>
      <c r="T6" s="680"/>
      <c r="U6" s="680"/>
      <c r="V6" s="680"/>
      <c r="W6" s="680"/>
      <c r="X6" s="680"/>
      <c r="Y6" s="680"/>
      <c r="Z6" s="680"/>
      <c r="AA6" s="680"/>
      <c r="AB6" s="680"/>
      <c r="AC6" s="680"/>
      <c r="AD6" s="680"/>
      <c r="AE6" s="680"/>
      <c r="AF6" s="680"/>
      <c r="AG6" s="680"/>
      <c r="AH6" s="680"/>
      <c r="AI6" s="680"/>
    </row>
    <row r="7" spans="1:35" s="617" customFormat="1" ht="12.75" customHeight="1" x14ac:dyDescent="0.2">
      <c r="A7" s="615" t="s">
        <v>570</v>
      </c>
      <c r="B7" s="681"/>
      <c r="C7" s="680"/>
      <c r="D7" s="680"/>
      <c r="E7" s="680"/>
      <c r="F7" s="680"/>
      <c r="G7" s="680"/>
      <c r="H7" s="680"/>
      <c r="I7" s="680"/>
      <c r="J7" s="680"/>
      <c r="K7" s="680"/>
      <c r="L7" s="680"/>
      <c r="M7" s="680"/>
      <c r="N7" s="680"/>
      <c r="O7" s="680"/>
      <c r="P7" s="680"/>
      <c r="Q7" s="680"/>
      <c r="R7" s="680"/>
      <c r="S7" s="680"/>
      <c r="T7" s="680"/>
      <c r="U7" s="680"/>
      <c r="V7" s="680"/>
      <c r="W7" s="680"/>
      <c r="X7" s="680"/>
      <c r="Y7" s="680"/>
      <c r="Z7" s="680"/>
      <c r="AA7" s="680"/>
      <c r="AB7" s="680"/>
      <c r="AC7" s="680"/>
      <c r="AD7" s="680"/>
      <c r="AE7" s="680"/>
      <c r="AF7" s="680"/>
      <c r="AG7" s="680"/>
      <c r="AH7" s="680"/>
      <c r="AI7" s="680"/>
    </row>
    <row r="8" spans="1:35" s="617" customFormat="1" ht="25.5" x14ac:dyDescent="0.2">
      <c r="A8" s="600" t="s">
        <v>579</v>
      </c>
      <c r="B8" s="681"/>
      <c r="C8" s="681"/>
      <c r="D8" s="681"/>
      <c r="E8" s="681"/>
      <c r="F8" s="681"/>
      <c r="G8" s="681"/>
      <c r="H8" s="681"/>
      <c r="I8" s="681"/>
      <c r="J8" s="681"/>
      <c r="K8" s="681"/>
      <c r="L8" s="681"/>
      <c r="M8" s="681"/>
      <c r="N8" s="681"/>
      <c r="O8" s="681"/>
      <c r="P8" s="681"/>
      <c r="Q8" s="681"/>
      <c r="R8" s="681"/>
      <c r="S8" s="681"/>
      <c r="T8" s="681"/>
      <c r="U8" s="681"/>
      <c r="V8" s="681"/>
      <c r="W8" s="681"/>
      <c r="X8" s="681"/>
      <c r="Y8" s="681"/>
      <c r="Z8" s="681"/>
      <c r="AA8" s="681"/>
      <c r="AB8" s="681"/>
      <c r="AC8" s="681"/>
      <c r="AD8" s="681"/>
      <c r="AE8" s="681"/>
      <c r="AF8" s="681"/>
      <c r="AG8" s="681"/>
      <c r="AH8" s="681"/>
      <c r="AI8" s="681"/>
    </row>
    <row r="9" spans="1:35" s="617" customFormat="1" x14ac:dyDescent="0.2">
      <c r="A9" s="600" t="s">
        <v>581</v>
      </c>
      <c r="B9" s="681"/>
      <c r="C9" s="681"/>
      <c r="D9" s="681"/>
      <c r="E9" s="681"/>
      <c r="F9" s="681"/>
      <c r="G9" s="681"/>
      <c r="H9" s="681"/>
      <c r="I9" s="681"/>
      <c r="J9" s="681"/>
      <c r="K9" s="681"/>
      <c r="L9" s="681"/>
      <c r="M9" s="681"/>
      <c r="N9" s="681"/>
      <c r="O9" s="681"/>
      <c r="P9" s="681"/>
      <c r="Q9" s="681"/>
      <c r="R9" s="681"/>
      <c r="S9" s="681"/>
      <c r="T9" s="681"/>
      <c r="U9" s="681"/>
      <c r="V9" s="681"/>
      <c r="W9" s="681"/>
      <c r="X9" s="681"/>
      <c r="Y9" s="681"/>
      <c r="Z9" s="681"/>
      <c r="AA9" s="681"/>
      <c r="AB9" s="681"/>
      <c r="AC9" s="681"/>
      <c r="AD9" s="681"/>
      <c r="AE9" s="681"/>
      <c r="AF9" s="681"/>
      <c r="AG9" s="681"/>
      <c r="AH9" s="681"/>
      <c r="AI9" s="681"/>
    </row>
    <row r="10" spans="1:35" s="618" customFormat="1" x14ac:dyDescent="0.2">
      <c r="A10" s="600" t="s">
        <v>582</v>
      </c>
      <c r="B10" s="681"/>
      <c r="C10" s="681"/>
      <c r="D10" s="681"/>
      <c r="E10" s="681"/>
      <c r="F10" s="681"/>
      <c r="G10" s="681"/>
      <c r="H10" s="681"/>
      <c r="I10" s="681"/>
      <c r="J10" s="681"/>
      <c r="K10" s="681"/>
      <c r="L10" s="681"/>
      <c r="M10" s="681"/>
      <c r="N10" s="681"/>
      <c r="O10" s="681"/>
      <c r="P10" s="681"/>
      <c r="Q10" s="681"/>
      <c r="R10" s="681"/>
      <c r="S10" s="681"/>
      <c r="T10" s="681"/>
      <c r="U10" s="681"/>
      <c r="V10" s="681"/>
      <c r="W10" s="681"/>
      <c r="X10" s="681"/>
      <c r="Y10" s="681"/>
      <c r="Z10" s="681"/>
      <c r="AA10" s="681"/>
      <c r="AB10" s="681"/>
      <c r="AC10" s="681"/>
      <c r="AD10" s="681"/>
      <c r="AE10" s="681"/>
      <c r="AF10" s="681"/>
      <c r="AG10" s="681"/>
      <c r="AH10" s="681"/>
      <c r="AI10" s="681"/>
    </row>
    <row r="11" spans="1:35" s="618" customFormat="1" x14ac:dyDescent="0.2">
      <c r="A11" s="600" t="s">
        <v>583</v>
      </c>
      <c r="B11" s="682"/>
      <c r="C11" s="682"/>
      <c r="D11" s="682"/>
      <c r="E11" s="682"/>
      <c r="F11" s="682"/>
      <c r="G11" s="682"/>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row>
    <row r="12" spans="1:35" s="618" customFormat="1" x14ac:dyDescent="0.2">
      <c r="A12" s="600" t="s">
        <v>584</v>
      </c>
      <c r="B12" s="682"/>
      <c r="C12" s="682"/>
      <c r="D12" s="682"/>
      <c r="E12" s="682"/>
      <c r="F12" s="682"/>
      <c r="G12" s="682"/>
      <c r="H12" s="682"/>
      <c r="I12" s="682"/>
      <c r="J12" s="682"/>
      <c r="K12" s="682"/>
      <c r="L12" s="682"/>
      <c r="M12" s="682"/>
      <c r="N12" s="682"/>
      <c r="O12" s="682"/>
      <c r="P12" s="682"/>
      <c r="Q12" s="682"/>
      <c r="R12" s="682"/>
      <c r="S12" s="682"/>
      <c r="T12" s="682"/>
      <c r="U12" s="682"/>
      <c r="V12" s="682"/>
      <c r="W12" s="682"/>
      <c r="X12" s="682"/>
      <c r="Y12" s="682"/>
      <c r="Z12" s="682"/>
      <c r="AA12" s="682"/>
      <c r="AB12" s="682"/>
      <c r="AC12" s="682"/>
      <c r="AD12" s="682"/>
      <c r="AE12" s="682"/>
      <c r="AF12" s="682"/>
      <c r="AG12" s="682"/>
      <c r="AH12" s="682"/>
      <c r="AI12" s="682"/>
    </row>
    <row r="13" spans="1:35" s="603" customFormat="1" x14ac:dyDescent="0.2">
      <c r="A13" s="607" t="s">
        <v>567</v>
      </c>
      <c r="B13" s="683">
        <f>SUM(B6:B12)</f>
        <v>0</v>
      </c>
      <c r="C13" s="683">
        <f t="shared" ref="C13:AI13" si="0">SUM(C6:C12)</f>
        <v>0</v>
      </c>
      <c r="D13" s="683">
        <f t="shared" si="0"/>
        <v>0</v>
      </c>
      <c r="E13" s="683">
        <f t="shared" si="0"/>
        <v>0</v>
      </c>
      <c r="F13" s="683">
        <f t="shared" si="0"/>
        <v>0</v>
      </c>
      <c r="G13" s="683">
        <f t="shared" si="0"/>
        <v>0</v>
      </c>
      <c r="H13" s="683">
        <f t="shared" si="0"/>
        <v>0</v>
      </c>
      <c r="I13" s="683">
        <f t="shared" si="0"/>
        <v>0</v>
      </c>
      <c r="J13" s="683">
        <f t="shared" si="0"/>
        <v>0</v>
      </c>
      <c r="K13" s="683">
        <f t="shared" si="0"/>
        <v>0</v>
      </c>
      <c r="L13" s="683">
        <f t="shared" si="0"/>
        <v>0</v>
      </c>
      <c r="M13" s="683">
        <f t="shared" si="0"/>
        <v>0</v>
      </c>
      <c r="N13" s="683">
        <f t="shared" si="0"/>
        <v>0</v>
      </c>
      <c r="O13" s="683">
        <f t="shared" si="0"/>
        <v>0</v>
      </c>
      <c r="P13" s="683">
        <f t="shared" si="0"/>
        <v>0</v>
      </c>
      <c r="Q13" s="683">
        <f t="shared" si="0"/>
        <v>0</v>
      </c>
      <c r="R13" s="683">
        <f t="shared" si="0"/>
        <v>0</v>
      </c>
      <c r="S13" s="683">
        <f t="shared" si="0"/>
        <v>0</v>
      </c>
      <c r="T13" s="683">
        <f t="shared" si="0"/>
        <v>0</v>
      </c>
      <c r="U13" s="683">
        <f t="shared" si="0"/>
        <v>0</v>
      </c>
      <c r="V13" s="683">
        <f t="shared" si="0"/>
        <v>0</v>
      </c>
      <c r="W13" s="683">
        <f t="shared" si="0"/>
        <v>0</v>
      </c>
      <c r="X13" s="683">
        <f t="shared" si="0"/>
        <v>0</v>
      </c>
      <c r="Y13" s="683">
        <f t="shared" si="0"/>
        <v>0</v>
      </c>
      <c r="Z13" s="683">
        <f t="shared" si="0"/>
        <v>0</v>
      </c>
      <c r="AA13" s="683">
        <f t="shared" si="0"/>
        <v>0</v>
      </c>
      <c r="AB13" s="683">
        <f t="shared" si="0"/>
        <v>0</v>
      </c>
      <c r="AC13" s="683">
        <f t="shared" si="0"/>
        <v>0</v>
      </c>
      <c r="AD13" s="683">
        <f t="shared" si="0"/>
        <v>0</v>
      </c>
      <c r="AE13" s="683">
        <f t="shared" si="0"/>
        <v>0</v>
      </c>
      <c r="AF13" s="683">
        <f t="shared" si="0"/>
        <v>0</v>
      </c>
      <c r="AG13" s="683">
        <f t="shared" si="0"/>
        <v>0</v>
      </c>
      <c r="AH13" s="683">
        <f t="shared" si="0"/>
        <v>0</v>
      </c>
      <c r="AI13" s="683">
        <f t="shared" si="0"/>
        <v>0</v>
      </c>
    </row>
    <row r="14" spans="1:35" s="606" customFormat="1" x14ac:dyDescent="0.2">
      <c r="A14" s="608" t="s">
        <v>568</v>
      </c>
      <c r="B14" s="684">
        <f>'Saimnieciskas pamatdarbibas NP'!B160</f>
        <v>0</v>
      </c>
      <c r="C14" s="684">
        <f>'Saimnieciskas pamatdarbibas NP'!C160</f>
        <v>0</v>
      </c>
      <c r="D14" s="684">
        <f>'Saimnieciskas pamatdarbibas NP'!D160</f>
        <v>14372.199499999962</v>
      </c>
      <c r="E14" s="684">
        <f>'Saimnieciskas pamatdarbibas NP'!E160</f>
        <v>22477.927699999986</v>
      </c>
      <c r="F14" s="684">
        <f>'Saimnieciskas pamatdarbibas NP'!F160</f>
        <v>17279.081899999939</v>
      </c>
      <c r="G14" s="684">
        <f>'Saimnieciskas pamatdarbibas NP'!G160</f>
        <v>18421.304099999954</v>
      </c>
      <c r="H14" s="684">
        <f>'Saimnieciskas pamatdarbibas NP'!H160</f>
        <v>19638.414300000055</v>
      </c>
      <c r="I14" s="684">
        <f>'Saimnieciskas pamatdarbibas NP'!I160</f>
        <v>17572.658499999969</v>
      </c>
      <c r="J14" s="684">
        <f>'Saimnieciskas pamatdarbibas NP'!J160</f>
        <v>15581.800699999891</v>
      </c>
      <c r="K14" s="684">
        <f>'Saimnieciskas pamatdarbibas NP'!K160</f>
        <v>19931.99090000007</v>
      </c>
      <c r="L14" s="684">
        <f>'Saimnieciskas pamatdarbibas NP'!L160</f>
        <v>18629.473100000076</v>
      </c>
      <c r="M14" s="684">
        <f>'Saimnieciskas pamatdarbibas NP'!M160</f>
        <v>17600.187299999925</v>
      </c>
      <c r="N14" s="684">
        <f>'Saimnieciskas pamatdarbibas NP'!N160</f>
        <v>6475.4215000000258</v>
      </c>
      <c r="O14" s="684">
        <f>'Saimnieciskas pamatdarbibas NP'!O160</f>
        <v>5055.6647999999914</v>
      </c>
      <c r="P14" s="684">
        <f>'Saimnieciskas pamatdarbibas NP'!P160</f>
        <v>2168.5300999999963</v>
      </c>
      <c r="Q14" s="684">
        <f>'Saimnieciskas pamatdarbibas NP'!Q160</f>
        <v>5697.3614000000598</v>
      </c>
      <c r="R14" s="684">
        <f>'Saimnieciskas pamatdarbibas NP'!R160</f>
        <v>-670.97330000004877</v>
      </c>
      <c r="S14" s="684">
        <f>'Saimnieciskas pamatdarbibas NP'!S160</f>
        <v>2857.8480000000054</v>
      </c>
      <c r="T14" s="684">
        <f>'Saimnieciskas pamatdarbibas NP'!T160</f>
        <v>-29.276700000016717</v>
      </c>
      <c r="U14" s="684">
        <f>'Saimnieciskas pamatdarbibas NP'!U160</f>
        <v>3499.5445999999283</v>
      </c>
      <c r="V14" s="684">
        <f>'Saimnieciskas pamatdarbibas NP'!V160</f>
        <v>960.5298999998995</v>
      </c>
      <c r="W14" s="684">
        <f>'Saimnieciskas pamatdarbibas NP'!W160</f>
        <v>4489.3611999999557</v>
      </c>
      <c r="X14" s="684">
        <f>'Saimnieciskas pamatdarbibas NP'!X160</f>
        <v>1602.2265000000771</v>
      </c>
      <c r="Y14" s="684">
        <f>'Saimnieciskas pamatdarbibas NP'!Y160</f>
        <v>1649.8477999999959</v>
      </c>
      <c r="Z14" s="684">
        <f>'Saimnieciskas pamatdarbibas NP'!Z160</f>
        <v>1970.7010999999766</v>
      </c>
      <c r="AA14" s="684">
        <f>'Saimnieciskas pamatdarbibas NP'!AA160</f>
        <v>2291.5444000000571</v>
      </c>
      <c r="AB14" s="684">
        <f>'Saimnieciskas pamatdarbibas NP'!AB160</f>
        <v>3300.7476999998908</v>
      </c>
      <c r="AC14" s="684">
        <f>'Saimnieciskas pamatdarbibas NP'!AC160</f>
        <v>1176.8509999998205</v>
      </c>
      <c r="AD14" s="684">
        <f>'Saimnieciskas pamatdarbibas NP'!AD160</f>
        <v>2186.0443000000087</v>
      </c>
      <c r="AE14" s="684">
        <f>'Saimnieciskas pamatdarbibas NP'!AE160</f>
        <v>3195.2476000001188</v>
      </c>
      <c r="AF14" s="684">
        <f>'Saimnieciskas pamatdarbibas NP'!AF160</f>
        <v>2694.7220000001325</v>
      </c>
      <c r="AG14" s="684">
        <f>'Saimnieciskas pamatdarbibas NP'!AG160</f>
        <v>1846.0764000001946</v>
      </c>
      <c r="AH14" s="684">
        <f>'Saimnieciskas pamatdarbibas NP'!AH160</f>
        <v>1345.550799999859</v>
      </c>
      <c r="AI14" s="684">
        <f>'Saimnieciskas pamatdarbibas NP'!AI160</f>
        <v>496.91519999998854</v>
      </c>
    </row>
    <row r="15" spans="1:35" s="606" customFormat="1" x14ac:dyDescent="0.2">
      <c r="A15" s="609" t="s">
        <v>569</v>
      </c>
      <c r="B15" s="683">
        <f>B14+B13</f>
        <v>0</v>
      </c>
      <c r="C15" s="683">
        <f t="shared" ref="C15" si="1">C14+C13</f>
        <v>0</v>
      </c>
      <c r="D15" s="683">
        <f>D14+D13</f>
        <v>14372.199499999962</v>
      </c>
      <c r="E15" s="683">
        <f>E14+E13</f>
        <v>22477.927699999986</v>
      </c>
      <c r="F15" s="683">
        <f t="shared" ref="F15:AI15" si="2">F14+F13</f>
        <v>17279.081899999939</v>
      </c>
      <c r="G15" s="683">
        <f t="shared" si="2"/>
        <v>18421.304099999954</v>
      </c>
      <c r="H15" s="683">
        <f t="shared" si="2"/>
        <v>19638.414300000055</v>
      </c>
      <c r="I15" s="683">
        <f t="shared" si="2"/>
        <v>17572.658499999969</v>
      </c>
      <c r="J15" s="683">
        <f t="shared" si="2"/>
        <v>15581.800699999891</v>
      </c>
      <c r="K15" s="683">
        <f t="shared" si="2"/>
        <v>19931.99090000007</v>
      </c>
      <c r="L15" s="683">
        <f t="shared" si="2"/>
        <v>18629.473100000076</v>
      </c>
      <c r="M15" s="683">
        <f t="shared" si="2"/>
        <v>17600.187299999925</v>
      </c>
      <c r="N15" s="683">
        <f t="shared" si="2"/>
        <v>6475.4215000000258</v>
      </c>
      <c r="O15" s="683">
        <f t="shared" si="2"/>
        <v>5055.6647999999914</v>
      </c>
      <c r="P15" s="683">
        <f t="shared" si="2"/>
        <v>2168.5300999999963</v>
      </c>
      <c r="Q15" s="683">
        <f t="shared" si="2"/>
        <v>5697.3614000000598</v>
      </c>
      <c r="R15" s="683">
        <f t="shared" si="2"/>
        <v>-670.97330000004877</v>
      </c>
      <c r="S15" s="683">
        <f t="shared" si="2"/>
        <v>2857.8480000000054</v>
      </c>
      <c r="T15" s="683">
        <f t="shared" si="2"/>
        <v>-29.276700000016717</v>
      </c>
      <c r="U15" s="683">
        <f t="shared" si="2"/>
        <v>3499.5445999999283</v>
      </c>
      <c r="V15" s="683">
        <f t="shared" si="2"/>
        <v>960.5298999998995</v>
      </c>
      <c r="W15" s="683">
        <f t="shared" si="2"/>
        <v>4489.3611999999557</v>
      </c>
      <c r="X15" s="683">
        <f t="shared" si="2"/>
        <v>1602.2265000000771</v>
      </c>
      <c r="Y15" s="683">
        <f t="shared" si="2"/>
        <v>1649.8477999999959</v>
      </c>
      <c r="Z15" s="683">
        <f t="shared" si="2"/>
        <v>1970.7010999999766</v>
      </c>
      <c r="AA15" s="683">
        <f t="shared" si="2"/>
        <v>2291.5444000000571</v>
      </c>
      <c r="AB15" s="683">
        <f t="shared" si="2"/>
        <v>3300.7476999998908</v>
      </c>
      <c r="AC15" s="683">
        <f t="shared" si="2"/>
        <v>1176.8509999998205</v>
      </c>
      <c r="AD15" s="683">
        <f t="shared" si="2"/>
        <v>2186.0443000000087</v>
      </c>
      <c r="AE15" s="683">
        <f t="shared" si="2"/>
        <v>3195.2476000001188</v>
      </c>
      <c r="AF15" s="683">
        <f t="shared" si="2"/>
        <v>2694.7220000001325</v>
      </c>
      <c r="AG15" s="683">
        <f t="shared" si="2"/>
        <v>1846.0764000001946</v>
      </c>
      <c r="AH15" s="683">
        <f t="shared" si="2"/>
        <v>1345.550799999859</v>
      </c>
      <c r="AI15" s="683">
        <f t="shared" si="2"/>
        <v>496.91519999998854</v>
      </c>
    </row>
    <row r="16" spans="1:35" s="617" customFormat="1" x14ac:dyDescent="0.2">
      <c r="A16" s="619" t="s">
        <v>571</v>
      </c>
      <c r="B16" s="680"/>
      <c r="C16" s="680"/>
      <c r="D16" s="680"/>
      <c r="E16" s="680"/>
      <c r="F16" s="680"/>
      <c r="G16" s="680"/>
      <c r="H16" s="680"/>
      <c r="I16" s="680"/>
      <c r="J16" s="680"/>
      <c r="K16" s="680"/>
      <c r="L16" s="680"/>
      <c r="M16" s="680"/>
      <c r="N16" s="680"/>
      <c r="O16" s="680"/>
      <c r="P16" s="680"/>
      <c r="Q16" s="680"/>
      <c r="R16" s="680"/>
      <c r="S16" s="680"/>
      <c r="T16" s="680"/>
      <c r="U16" s="680"/>
      <c r="V16" s="680"/>
      <c r="W16" s="680"/>
      <c r="X16" s="680"/>
      <c r="Y16" s="680"/>
      <c r="Z16" s="680"/>
      <c r="AA16" s="680"/>
      <c r="AB16" s="680"/>
      <c r="AC16" s="680"/>
      <c r="AD16" s="680"/>
      <c r="AE16" s="680"/>
      <c r="AF16" s="680"/>
      <c r="AG16" s="680"/>
      <c r="AH16" s="680"/>
      <c r="AI16" s="680"/>
    </row>
    <row r="17" spans="1:35" s="617" customFormat="1" ht="25.5" x14ac:dyDescent="0.2">
      <c r="A17" s="619" t="s">
        <v>580</v>
      </c>
      <c r="B17" s="680"/>
      <c r="C17" s="680"/>
      <c r="D17" s="680"/>
      <c r="E17" s="680"/>
      <c r="F17" s="680"/>
      <c r="G17" s="680"/>
      <c r="H17" s="680"/>
      <c r="I17" s="680"/>
      <c r="J17" s="680"/>
      <c r="K17" s="680"/>
      <c r="L17" s="680"/>
      <c r="M17" s="680"/>
      <c r="N17" s="680"/>
      <c r="O17" s="680"/>
      <c r="P17" s="680"/>
      <c r="Q17" s="680"/>
      <c r="R17" s="680"/>
      <c r="S17" s="680"/>
      <c r="T17" s="680"/>
      <c r="U17" s="680"/>
      <c r="V17" s="680"/>
      <c r="W17" s="680"/>
      <c r="X17" s="680"/>
      <c r="Y17" s="680"/>
      <c r="Z17" s="680"/>
      <c r="AA17" s="680"/>
      <c r="AB17" s="680"/>
      <c r="AC17" s="680"/>
      <c r="AD17" s="680"/>
      <c r="AE17" s="680"/>
      <c r="AF17" s="680"/>
      <c r="AG17" s="680"/>
      <c r="AH17" s="680"/>
      <c r="AI17" s="680"/>
    </row>
    <row r="18" spans="1:35" s="617" customFormat="1" ht="38.25" x14ac:dyDescent="0.2">
      <c r="A18" s="619" t="s">
        <v>585</v>
      </c>
      <c r="B18" s="680"/>
      <c r="C18" s="680"/>
      <c r="D18" s="680"/>
      <c r="E18" s="680"/>
      <c r="F18" s="680"/>
      <c r="G18" s="680"/>
      <c r="H18" s="680"/>
      <c r="I18" s="680"/>
      <c r="J18" s="680"/>
      <c r="K18" s="680"/>
      <c r="L18" s="680"/>
      <c r="M18" s="680"/>
      <c r="N18" s="680"/>
      <c r="O18" s="680"/>
      <c r="P18" s="680"/>
      <c r="Q18" s="680"/>
      <c r="R18" s="680"/>
      <c r="S18" s="680"/>
      <c r="T18" s="680"/>
      <c r="U18" s="680"/>
      <c r="V18" s="680"/>
      <c r="W18" s="680"/>
      <c r="X18" s="680"/>
      <c r="Y18" s="680"/>
      <c r="Z18" s="680"/>
      <c r="AA18" s="680"/>
      <c r="AB18" s="680"/>
      <c r="AC18" s="680"/>
      <c r="AD18" s="680"/>
      <c r="AE18" s="680"/>
      <c r="AF18" s="680"/>
      <c r="AG18" s="680"/>
      <c r="AH18" s="680"/>
      <c r="AI18" s="680"/>
    </row>
    <row r="19" spans="1:35" s="617" customFormat="1" x14ac:dyDescent="0.2">
      <c r="A19" s="619" t="s">
        <v>587</v>
      </c>
      <c r="B19" s="680"/>
      <c r="C19" s="680"/>
      <c r="D19" s="680"/>
      <c r="E19" s="680"/>
      <c r="F19" s="680"/>
      <c r="G19" s="680"/>
      <c r="H19" s="680"/>
      <c r="I19" s="680"/>
      <c r="J19" s="680"/>
      <c r="K19" s="680"/>
      <c r="L19" s="680"/>
      <c r="M19" s="680"/>
      <c r="N19" s="680"/>
      <c r="O19" s="680"/>
      <c r="P19" s="680"/>
      <c r="Q19" s="680"/>
      <c r="R19" s="680"/>
      <c r="S19" s="680"/>
      <c r="T19" s="680"/>
      <c r="U19" s="680"/>
      <c r="V19" s="680"/>
      <c r="W19" s="680"/>
      <c r="X19" s="680"/>
      <c r="Y19" s="680"/>
      <c r="Z19" s="680"/>
      <c r="AA19" s="680"/>
      <c r="AB19" s="680"/>
      <c r="AC19" s="680"/>
      <c r="AD19" s="680"/>
      <c r="AE19" s="680"/>
      <c r="AF19" s="680"/>
      <c r="AG19" s="680"/>
      <c r="AH19" s="680"/>
      <c r="AI19" s="680"/>
    </row>
    <row r="20" spans="1:35" s="617" customFormat="1" x14ac:dyDescent="0.2">
      <c r="A20" s="619" t="s">
        <v>588</v>
      </c>
      <c r="B20" s="680"/>
      <c r="C20" s="680"/>
      <c r="D20" s="680"/>
      <c r="E20" s="680"/>
      <c r="F20" s="680"/>
      <c r="G20" s="680"/>
      <c r="H20" s="680"/>
      <c r="I20" s="680"/>
      <c r="J20" s="680"/>
      <c r="K20" s="680"/>
      <c r="L20" s="680"/>
      <c r="M20" s="680"/>
      <c r="N20" s="680"/>
      <c r="O20" s="680"/>
      <c r="P20" s="680"/>
      <c r="Q20" s="680"/>
      <c r="R20" s="680"/>
      <c r="S20" s="680"/>
      <c r="T20" s="680"/>
      <c r="U20" s="680"/>
      <c r="V20" s="680"/>
      <c r="W20" s="680"/>
      <c r="X20" s="680"/>
      <c r="Y20" s="680"/>
      <c r="Z20" s="680"/>
      <c r="AA20" s="680"/>
      <c r="AB20" s="680"/>
      <c r="AC20" s="680"/>
      <c r="AD20" s="680"/>
      <c r="AE20" s="680"/>
      <c r="AF20" s="680"/>
      <c r="AG20" s="680"/>
      <c r="AH20" s="680"/>
      <c r="AI20" s="680"/>
    </row>
    <row r="21" spans="1:35" s="606" customFormat="1" x14ac:dyDescent="0.2">
      <c r="A21" s="609" t="s">
        <v>577</v>
      </c>
      <c r="B21" s="683">
        <f>SUM(B16:B20)</f>
        <v>0</v>
      </c>
      <c r="C21" s="683">
        <f t="shared" ref="C21:AI21" si="3">SUM(C16:C20)</f>
        <v>0</v>
      </c>
      <c r="D21" s="683">
        <f t="shared" si="3"/>
        <v>0</v>
      </c>
      <c r="E21" s="683">
        <f t="shared" si="3"/>
        <v>0</v>
      </c>
      <c r="F21" s="683">
        <f t="shared" si="3"/>
        <v>0</v>
      </c>
      <c r="G21" s="683">
        <f t="shared" si="3"/>
        <v>0</v>
      </c>
      <c r="H21" s="683">
        <f t="shared" si="3"/>
        <v>0</v>
      </c>
      <c r="I21" s="683">
        <f t="shared" si="3"/>
        <v>0</v>
      </c>
      <c r="J21" s="683">
        <f t="shared" si="3"/>
        <v>0</v>
      </c>
      <c r="K21" s="683">
        <f t="shared" si="3"/>
        <v>0</v>
      </c>
      <c r="L21" s="683">
        <f t="shared" si="3"/>
        <v>0</v>
      </c>
      <c r="M21" s="683">
        <f t="shared" si="3"/>
        <v>0</v>
      </c>
      <c r="N21" s="683">
        <f t="shared" si="3"/>
        <v>0</v>
      </c>
      <c r="O21" s="683">
        <f t="shared" si="3"/>
        <v>0</v>
      </c>
      <c r="P21" s="683">
        <f t="shared" si="3"/>
        <v>0</v>
      </c>
      <c r="Q21" s="683">
        <f t="shared" si="3"/>
        <v>0</v>
      </c>
      <c r="R21" s="683">
        <f t="shared" si="3"/>
        <v>0</v>
      </c>
      <c r="S21" s="683">
        <f t="shared" si="3"/>
        <v>0</v>
      </c>
      <c r="T21" s="683">
        <f t="shared" si="3"/>
        <v>0</v>
      </c>
      <c r="U21" s="683">
        <f t="shared" si="3"/>
        <v>0</v>
      </c>
      <c r="V21" s="683">
        <f t="shared" si="3"/>
        <v>0</v>
      </c>
      <c r="W21" s="683">
        <f t="shared" si="3"/>
        <v>0</v>
      </c>
      <c r="X21" s="683">
        <f t="shared" si="3"/>
        <v>0</v>
      </c>
      <c r="Y21" s="683">
        <f t="shared" si="3"/>
        <v>0</v>
      </c>
      <c r="Z21" s="683">
        <f t="shared" si="3"/>
        <v>0</v>
      </c>
      <c r="AA21" s="683">
        <f t="shared" si="3"/>
        <v>0</v>
      </c>
      <c r="AB21" s="683">
        <f t="shared" si="3"/>
        <v>0</v>
      </c>
      <c r="AC21" s="683">
        <f t="shared" si="3"/>
        <v>0</v>
      </c>
      <c r="AD21" s="683">
        <f t="shared" si="3"/>
        <v>0</v>
      </c>
      <c r="AE21" s="683">
        <f t="shared" si="3"/>
        <v>0</v>
      </c>
      <c r="AF21" s="683">
        <f t="shared" si="3"/>
        <v>0</v>
      </c>
      <c r="AG21" s="683">
        <f t="shared" si="3"/>
        <v>0</v>
      </c>
      <c r="AH21" s="683">
        <f t="shared" si="3"/>
        <v>0</v>
      </c>
      <c r="AI21" s="683">
        <f t="shared" si="3"/>
        <v>0</v>
      </c>
    </row>
    <row r="22" spans="1:35" s="606" customFormat="1" x14ac:dyDescent="0.2">
      <c r="A22" s="608" t="s">
        <v>572</v>
      </c>
      <c r="B22" s="684">
        <f>'Saimnieciskas pamatdarbibas NP'!B150</f>
        <v>0</v>
      </c>
      <c r="C22" s="684">
        <f>'Saimnieciskas pamatdarbibas NP'!C150</f>
        <v>0</v>
      </c>
      <c r="D22" s="684">
        <f>'Saimnieciskas pamatdarbibas NP'!D150</f>
        <v>13146.654499999946</v>
      </c>
      <c r="E22" s="684">
        <f>'Saimnieciskas pamatdarbibas NP'!E150</f>
        <v>13404.802299999981</v>
      </c>
      <c r="F22" s="684">
        <f>'Saimnieciskas pamatdarbibas NP'!F150</f>
        <v>13655.070100000012</v>
      </c>
      <c r="G22" s="684">
        <f>'Saimnieciskas pamatdarbibas NP'!G150</f>
        <v>13905.327900000033</v>
      </c>
      <c r="H22" s="684">
        <f>'Saimnieciskas pamatdarbibas NP'!H150</f>
        <v>14155.595699999947</v>
      </c>
      <c r="I22" s="684">
        <f>'Saimnieciskas pamatdarbibas NP'!I150</f>
        <v>14405.853500000085</v>
      </c>
      <c r="J22" s="684">
        <f>'Saimnieciskas pamatdarbibas NP'!J150</f>
        <v>14656.111300000106</v>
      </c>
      <c r="K22" s="684">
        <f>'Saimnieciskas pamatdarbibas NP'!K150</f>
        <v>14906.379099999904</v>
      </c>
      <c r="L22" s="684">
        <f>'Saimnieciskas pamatdarbibas NP'!L150</f>
        <v>15164.536899999948</v>
      </c>
      <c r="M22" s="684">
        <f>'Saimnieciskas pamatdarbibas NP'!M150</f>
        <v>15422.6847000001</v>
      </c>
      <c r="N22" s="684">
        <f>'Saimnieciskas pamatdarbibas NP'!N150</f>
        <v>15680.832500000019</v>
      </c>
      <c r="O22" s="684">
        <f>'Saimnieciskas pamatdarbibas NP'!O150</f>
        <v>16056.229199999943</v>
      </c>
      <c r="P22" s="684">
        <f>'Saimnieciskas pamatdarbibas NP'!P150</f>
        <v>16431.625899999985</v>
      </c>
      <c r="Q22" s="684">
        <f>'Saimnieciskas pamatdarbibas NP'!Q150</f>
        <v>16807.0125999999</v>
      </c>
      <c r="R22" s="684">
        <f>'Saimnieciskas pamatdarbibas NP'!R150</f>
        <v>17182.409300000058</v>
      </c>
      <c r="S22" s="684">
        <f>'Saimnieciskas pamatdarbibas NP'!S150</f>
        <v>17557.805999999982</v>
      </c>
      <c r="T22" s="684">
        <f>'Saimnieciskas pamatdarbibas NP'!T150</f>
        <v>17933.192700000014</v>
      </c>
      <c r="U22" s="684">
        <f>'Saimnieciskas pamatdarbibas NP'!U150</f>
        <v>18308.589400000055</v>
      </c>
      <c r="V22" s="684">
        <f>'Saimnieciskas pamatdarbibas NP'!V150</f>
        <v>18683.986100000096</v>
      </c>
      <c r="W22" s="684">
        <f>'Saimnieciskas pamatdarbibas NP'!W150</f>
        <v>19059.372800000012</v>
      </c>
      <c r="X22" s="684">
        <f>'Saimnieciskas pamatdarbibas NP'!X150</f>
        <v>19434.769499999937</v>
      </c>
      <c r="Y22" s="684">
        <f>'Saimnieciskas pamatdarbibas NP'!Y150</f>
        <v>19810.166199999978</v>
      </c>
      <c r="Z22" s="684">
        <f>'Saimnieciskas pamatdarbibas NP'!Z150</f>
        <v>20185.55290000001</v>
      </c>
      <c r="AA22" s="684">
        <f>'Saimnieciskas pamatdarbibas NP'!AA150</f>
        <v>20560.949599999934</v>
      </c>
      <c r="AB22" s="684">
        <f>'Saimnieciskas pamatdarbibas NP'!AB150</f>
        <v>20944.226300000097</v>
      </c>
      <c r="AC22" s="684">
        <f>'Saimnieciskas pamatdarbibas NP'!AC150</f>
        <v>21327.523000000161</v>
      </c>
      <c r="AD22" s="684">
        <f>'Saimnieciskas pamatdarbibas NP'!AD150</f>
        <v>21710.809699999983</v>
      </c>
      <c r="AE22" s="684">
        <f>'Saimnieciskas pamatdarbibas NP'!AE150</f>
        <v>22094.086399999913</v>
      </c>
      <c r="AF22" s="684">
        <f>'Saimnieciskas pamatdarbibas NP'!AF150</f>
        <v>22594.611999999848</v>
      </c>
      <c r="AG22" s="684">
        <f>'Saimnieciskas pamatdarbibas NP'!AG150</f>
        <v>23095.137599999784</v>
      </c>
      <c r="AH22" s="684">
        <f>'Saimnieciskas pamatdarbibas NP'!AH150</f>
        <v>23595.663200000068</v>
      </c>
      <c r="AI22" s="684">
        <f>'Saimnieciskas pamatdarbibas NP'!AI150</f>
        <v>24096.178799999994</v>
      </c>
    </row>
    <row r="23" spans="1:35" s="606" customFormat="1" x14ac:dyDescent="0.2">
      <c r="A23" s="608" t="s">
        <v>573</v>
      </c>
      <c r="B23" s="684">
        <f>Aprekini!B148</f>
        <v>0</v>
      </c>
      <c r="C23" s="684">
        <f>Aprekini!C148</f>
        <v>246585</v>
      </c>
      <c r="D23" s="684">
        <f>Aprekini!D148</f>
        <v>36400</v>
      </c>
      <c r="E23" s="684">
        <f>Aprekini!E148</f>
        <v>0</v>
      </c>
      <c r="F23" s="684">
        <f>Aprekini!F148</f>
        <v>0</v>
      </c>
      <c r="G23" s="684">
        <f>Aprekini!G148</f>
        <v>0</v>
      </c>
      <c r="H23" s="684">
        <f>Aprekini!H148</f>
        <v>0</v>
      </c>
      <c r="I23" s="684">
        <f>Aprekini!I148</f>
        <v>0</v>
      </c>
      <c r="J23" s="684">
        <f>Aprekini!J148</f>
        <v>0</v>
      </c>
      <c r="K23" s="684">
        <f>Aprekini!K148</f>
        <v>0</v>
      </c>
      <c r="L23" s="684">
        <f>Aprekini!L148</f>
        <v>0</v>
      </c>
      <c r="M23" s="684">
        <f>Aprekini!M148</f>
        <v>0</v>
      </c>
      <c r="N23" s="684">
        <f>Aprekini!N148</f>
        <v>0</v>
      </c>
      <c r="O23" s="684">
        <f>Aprekini!O148</f>
        <v>0</v>
      </c>
      <c r="P23" s="684">
        <f>Aprekini!P148</f>
        <v>0</v>
      </c>
      <c r="Q23" s="684">
        <f>Aprekini!Q148</f>
        <v>0</v>
      </c>
      <c r="R23" s="684">
        <f>Aprekini!R148</f>
        <v>0</v>
      </c>
      <c r="S23" s="684">
        <f>Aprekini!S148</f>
        <v>0</v>
      </c>
      <c r="T23" s="684">
        <f>Aprekini!T148</f>
        <v>0</v>
      </c>
      <c r="U23" s="684">
        <f>Aprekini!U148</f>
        <v>0</v>
      </c>
      <c r="V23" s="684">
        <f>Aprekini!V148</f>
        <v>0</v>
      </c>
      <c r="W23" s="684">
        <f>Aprekini!W148</f>
        <v>0</v>
      </c>
      <c r="X23" s="684">
        <f>Aprekini!X148</f>
        <v>0</v>
      </c>
      <c r="Y23" s="684">
        <f>Aprekini!Y148</f>
        <v>0</v>
      </c>
      <c r="Z23" s="684">
        <f>Aprekini!Z148</f>
        <v>0</v>
      </c>
      <c r="AA23" s="684">
        <f>Aprekini!AA148</f>
        <v>0</v>
      </c>
      <c r="AB23" s="684">
        <f>Aprekini!AB148</f>
        <v>0</v>
      </c>
      <c r="AC23" s="684">
        <f>Aprekini!AC148</f>
        <v>0</v>
      </c>
      <c r="AD23" s="684">
        <f>Aprekini!AD148</f>
        <v>0</v>
      </c>
      <c r="AE23" s="684">
        <f>Aprekini!AE148</f>
        <v>0</v>
      </c>
      <c r="AF23" s="684">
        <f>Aprekini!AF148</f>
        <v>0</v>
      </c>
      <c r="AG23" s="684">
        <f>Aprekini!AG148</f>
        <v>0</v>
      </c>
      <c r="AH23" s="684">
        <f>Aprekini!AH148</f>
        <v>0</v>
      </c>
      <c r="AI23" s="684">
        <f>Aprekini!AI148</f>
        <v>0</v>
      </c>
    </row>
    <row r="24" spans="1:35" s="606" customFormat="1" x14ac:dyDescent="0.2">
      <c r="A24" s="609" t="s">
        <v>574</v>
      </c>
      <c r="B24" s="683">
        <f t="shared" ref="B24:AI24" si="4">SUM(B21:B23)</f>
        <v>0</v>
      </c>
      <c r="C24" s="683">
        <f t="shared" si="4"/>
        <v>246585</v>
      </c>
      <c r="D24" s="683">
        <f t="shared" si="4"/>
        <v>49546.654499999946</v>
      </c>
      <c r="E24" s="683">
        <f t="shared" si="4"/>
        <v>13404.802299999981</v>
      </c>
      <c r="F24" s="683">
        <f t="shared" si="4"/>
        <v>13655.070100000012</v>
      </c>
      <c r="G24" s="683">
        <f t="shared" si="4"/>
        <v>13905.327900000033</v>
      </c>
      <c r="H24" s="683">
        <f t="shared" si="4"/>
        <v>14155.595699999947</v>
      </c>
      <c r="I24" s="683">
        <f t="shared" si="4"/>
        <v>14405.853500000085</v>
      </c>
      <c r="J24" s="683">
        <f t="shared" si="4"/>
        <v>14656.111300000106</v>
      </c>
      <c r="K24" s="683">
        <f t="shared" si="4"/>
        <v>14906.379099999904</v>
      </c>
      <c r="L24" s="683">
        <f t="shared" si="4"/>
        <v>15164.536899999948</v>
      </c>
      <c r="M24" s="683">
        <f t="shared" si="4"/>
        <v>15422.6847000001</v>
      </c>
      <c r="N24" s="683">
        <f t="shared" si="4"/>
        <v>15680.832500000019</v>
      </c>
      <c r="O24" s="683">
        <f t="shared" si="4"/>
        <v>16056.229199999943</v>
      </c>
      <c r="P24" s="683">
        <f t="shared" si="4"/>
        <v>16431.625899999985</v>
      </c>
      <c r="Q24" s="683">
        <f t="shared" si="4"/>
        <v>16807.0125999999</v>
      </c>
      <c r="R24" s="683">
        <f t="shared" si="4"/>
        <v>17182.409300000058</v>
      </c>
      <c r="S24" s="683">
        <f t="shared" si="4"/>
        <v>17557.805999999982</v>
      </c>
      <c r="T24" s="683">
        <f t="shared" si="4"/>
        <v>17933.192700000014</v>
      </c>
      <c r="U24" s="683">
        <f t="shared" si="4"/>
        <v>18308.589400000055</v>
      </c>
      <c r="V24" s="683">
        <f t="shared" si="4"/>
        <v>18683.986100000096</v>
      </c>
      <c r="W24" s="683">
        <f t="shared" si="4"/>
        <v>19059.372800000012</v>
      </c>
      <c r="X24" s="683">
        <f t="shared" si="4"/>
        <v>19434.769499999937</v>
      </c>
      <c r="Y24" s="683">
        <f t="shared" si="4"/>
        <v>19810.166199999978</v>
      </c>
      <c r="Z24" s="683">
        <f t="shared" si="4"/>
        <v>20185.55290000001</v>
      </c>
      <c r="AA24" s="683">
        <f t="shared" si="4"/>
        <v>20560.949599999934</v>
      </c>
      <c r="AB24" s="683">
        <f t="shared" si="4"/>
        <v>20944.226300000097</v>
      </c>
      <c r="AC24" s="683">
        <f t="shared" si="4"/>
        <v>21327.523000000161</v>
      </c>
      <c r="AD24" s="683">
        <f t="shared" si="4"/>
        <v>21710.809699999983</v>
      </c>
      <c r="AE24" s="683">
        <f t="shared" si="4"/>
        <v>22094.086399999913</v>
      </c>
      <c r="AF24" s="683">
        <f t="shared" si="4"/>
        <v>22594.611999999848</v>
      </c>
      <c r="AG24" s="683">
        <f t="shared" si="4"/>
        <v>23095.137599999784</v>
      </c>
      <c r="AH24" s="683">
        <f t="shared" si="4"/>
        <v>23595.663200000068</v>
      </c>
      <c r="AI24" s="683">
        <f t="shared" si="4"/>
        <v>24096.178799999994</v>
      </c>
    </row>
    <row r="25" spans="1:35" s="606" customFormat="1" x14ac:dyDescent="0.2">
      <c r="A25" s="609" t="s">
        <v>575</v>
      </c>
      <c r="B25" s="683">
        <f t="shared" ref="B25:AI25" si="5">B15-B24</f>
        <v>0</v>
      </c>
      <c r="C25" s="683">
        <f t="shared" si="5"/>
        <v>-246585</v>
      </c>
      <c r="D25" s="683">
        <f t="shared" si="5"/>
        <v>-35174.454999999987</v>
      </c>
      <c r="E25" s="683">
        <f t="shared" si="5"/>
        <v>9073.1254000000044</v>
      </c>
      <c r="F25" s="683">
        <f t="shared" si="5"/>
        <v>3624.0117999999275</v>
      </c>
      <c r="G25" s="683">
        <f t="shared" si="5"/>
        <v>4515.9761999999209</v>
      </c>
      <c r="H25" s="683">
        <f t="shared" si="5"/>
        <v>5482.8186000001078</v>
      </c>
      <c r="I25" s="683">
        <f t="shared" si="5"/>
        <v>3166.8049999998839</v>
      </c>
      <c r="J25" s="683">
        <f t="shared" si="5"/>
        <v>925.68939999978465</v>
      </c>
      <c r="K25" s="683">
        <f t="shared" si="5"/>
        <v>5025.6118000001661</v>
      </c>
      <c r="L25" s="683">
        <f t="shared" si="5"/>
        <v>3464.9362000001274</v>
      </c>
      <c r="M25" s="683">
        <f t="shared" si="5"/>
        <v>2177.5025999998252</v>
      </c>
      <c r="N25" s="683">
        <f t="shared" si="5"/>
        <v>-9205.4109999999928</v>
      </c>
      <c r="O25" s="683">
        <f t="shared" si="5"/>
        <v>-11000.564399999952</v>
      </c>
      <c r="P25" s="683">
        <f t="shared" si="5"/>
        <v>-14263.095799999988</v>
      </c>
      <c r="Q25" s="683">
        <f t="shared" si="5"/>
        <v>-11109.65119999984</v>
      </c>
      <c r="R25" s="683">
        <f t="shared" si="5"/>
        <v>-17853.382600000106</v>
      </c>
      <c r="S25" s="683">
        <f t="shared" si="5"/>
        <v>-14699.957999999977</v>
      </c>
      <c r="T25" s="683">
        <f t="shared" si="5"/>
        <v>-17962.469400000031</v>
      </c>
      <c r="U25" s="683">
        <f t="shared" si="5"/>
        <v>-14809.044800000127</v>
      </c>
      <c r="V25" s="683">
        <f t="shared" si="5"/>
        <v>-17723.456200000197</v>
      </c>
      <c r="W25" s="683">
        <f t="shared" si="5"/>
        <v>-14570.011600000056</v>
      </c>
      <c r="X25" s="683">
        <f t="shared" si="5"/>
        <v>-17832.54299999986</v>
      </c>
      <c r="Y25" s="683">
        <f t="shared" si="5"/>
        <v>-18160.318399999982</v>
      </c>
      <c r="Z25" s="683">
        <f t="shared" si="5"/>
        <v>-18214.851800000033</v>
      </c>
      <c r="AA25" s="683">
        <f t="shared" si="5"/>
        <v>-18269.405199999877</v>
      </c>
      <c r="AB25" s="683">
        <f t="shared" si="5"/>
        <v>-17643.478600000206</v>
      </c>
      <c r="AC25" s="683">
        <f t="shared" si="5"/>
        <v>-20150.672000000341</v>
      </c>
      <c r="AD25" s="683">
        <f t="shared" si="5"/>
        <v>-19524.765399999975</v>
      </c>
      <c r="AE25" s="683">
        <f t="shared" si="5"/>
        <v>-18898.838799999794</v>
      </c>
      <c r="AF25" s="683">
        <f t="shared" si="5"/>
        <v>-19899.889999999716</v>
      </c>
      <c r="AG25" s="683">
        <f t="shared" si="5"/>
        <v>-21249.061199999589</v>
      </c>
      <c r="AH25" s="683">
        <f t="shared" si="5"/>
        <v>-22250.112400000209</v>
      </c>
      <c r="AI25" s="683">
        <f t="shared" si="5"/>
        <v>-23599.263600000006</v>
      </c>
    </row>
    <row r="26" spans="1:35" s="606" customFormat="1" x14ac:dyDescent="0.2">
      <c r="A26" s="610" t="s">
        <v>576</v>
      </c>
      <c r="B26" s="611"/>
      <c r="C26" s="1042" t="str">
        <f>IF(ISERROR(IRR(C25:AF25,0.01)),"Nevar aprēķināt", IRR(C25:AF25,0.01))</f>
        <v>Nevar aprēķināt</v>
      </c>
      <c r="D26" s="1042"/>
      <c r="E26" s="1042"/>
      <c r="F26" s="1042"/>
      <c r="G26" s="1042"/>
      <c r="H26" s="1042"/>
      <c r="I26" s="1042"/>
      <c r="J26" s="1042"/>
      <c r="K26" s="1042"/>
      <c r="L26" s="1042"/>
    </row>
    <row r="27" spans="1:35" s="606" customFormat="1" x14ac:dyDescent="0.2">
      <c r="A27" s="610" t="s">
        <v>605</v>
      </c>
      <c r="B27" s="611"/>
      <c r="C27" s="1043">
        <f>NPV('Kopējie pieņēmumi'!B17,(C25:AF25))</f>
        <v>-321676.10843880282</v>
      </c>
      <c r="D27" s="1043"/>
      <c r="E27" s="1043"/>
      <c r="F27" s="1043"/>
      <c r="G27" s="1043"/>
      <c r="H27" s="1043"/>
      <c r="I27" s="1043"/>
      <c r="J27" s="1043"/>
      <c r="K27" s="1043"/>
      <c r="L27" s="1043"/>
    </row>
    <row r="28" spans="1:35" s="606" customFormat="1" x14ac:dyDescent="0.2">
      <c r="A28" s="612" t="s">
        <v>586</v>
      </c>
      <c r="B28" s="613"/>
      <c r="C28" s="1039">
        <f>NPV('Kopējie pieņēmumi'!B17,(C15:AF15))/NPV('Kopējie pieņēmumi'!B17,('Ekonomiskā analīze'!C24:AF24))</f>
        <v>0.30145215529222069</v>
      </c>
      <c r="D28" s="1039"/>
      <c r="E28" s="1039"/>
      <c r="F28" s="1039"/>
      <c r="G28" s="1039"/>
      <c r="H28" s="1039"/>
      <c r="I28" s="1039"/>
      <c r="J28" s="1039"/>
      <c r="K28" s="1039"/>
      <c r="L28" s="1039"/>
    </row>
    <row r="29" spans="1:35" s="606" customFormat="1" x14ac:dyDescent="0.2"/>
    <row r="30" spans="1:35" s="606" customFormat="1" x14ac:dyDescent="0.2">
      <c r="A30" s="614" t="s">
        <v>563</v>
      </c>
      <c r="B30" s="614"/>
      <c r="C30" s="685">
        <f>NPV('Kopējie pieņēmumi'!B17,C22:AF22)</f>
        <v>196587.02328998066</v>
      </c>
    </row>
    <row r="31" spans="1:35" s="606" customFormat="1" x14ac:dyDescent="0.2">
      <c r="A31" s="614" t="s">
        <v>564</v>
      </c>
      <c r="B31" s="614"/>
      <c r="C31" s="685">
        <f>NPV('Kopējie pieņēmumi'!B17,(C23:I23))</f>
        <v>263905.56984566682</v>
      </c>
    </row>
    <row r="32" spans="1:35" s="606" customFormat="1" x14ac:dyDescent="0.2">
      <c r="A32" s="614" t="s">
        <v>565</v>
      </c>
      <c r="B32" s="614"/>
      <c r="C32" s="685">
        <f>NPV('Kopējie pieņēmumi'!B17,C24:AF24)</f>
        <v>460492.59313564748</v>
      </c>
    </row>
    <row r="33" spans="1:3" s="606" customFormat="1" x14ac:dyDescent="0.2">
      <c r="A33" s="614" t="s">
        <v>566</v>
      </c>
      <c r="B33" s="614"/>
      <c r="C33" s="685">
        <f>NPV('Kopējie pieņēmumi'!B17,C15:AF15)</f>
        <v>138816.48469684459</v>
      </c>
    </row>
  </sheetData>
  <sheetProtection algorithmName="SHA-512" hashValue="oe7jxbps7Ijz5hSjuHUCoBL6UhtVHXyKRd15IXtVGiwotTopznh8UkAofzTzM8X7Fxeh/y6q/ukExL1+Q9viLw==" saltValue="X4yBh8RDgADcLyquwCRflQ==" spinCount="100000" sheet="1" objects="1" scenarios="1" formatCells="0" formatColumns="0" formatRows="0" insertColumns="0" insertRows="0"/>
  <mergeCells count="6">
    <mergeCell ref="C28:L28"/>
    <mergeCell ref="A2:B2"/>
    <mergeCell ref="C2:F2"/>
    <mergeCell ref="A1:F1"/>
    <mergeCell ref="C26:L26"/>
    <mergeCell ref="C27:L27"/>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I58"/>
  <sheetViews>
    <sheetView view="pageBreakPreview" zoomScale="60" workbookViewId="0">
      <selection activeCell="A41" sqref="A41:I41"/>
    </sheetView>
  </sheetViews>
  <sheetFormatPr defaultRowHeight="11.25" x14ac:dyDescent="0.2"/>
  <cols>
    <col min="7" max="7" width="8.85546875" customWidth="1"/>
    <col min="8" max="8" width="25.85546875" hidden="1" customWidth="1"/>
    <col min="9" max="9" width="16.42578125" hidden="1" customWidth="1"/>
  </cols>
  <sheetData>
    <row r="1" spans="1:9" ht="41.25" customHeight="1" x14ac:dyDescent="0.2">
      <c r="A1" s="1045" t="s">
        <v>589</v>
      </c>
      <c r="B1" s="1045"/>
      <c r="C1" s="1045"/>
      <c r="D1" s="1045"/>
      <c r="E1" s="1045"/>
      <c r="F1" s="1045"/>
      <c r="G1" s="1045"/>
      <c r="H1" s="1045"/>
      <c r="I1" s="1045"/>
    </row>
    <row r="2" spans="1:9" ht="15.75" x14ac:dyDescent="0.2">
      <c r="A2" s="1044"/>
      <c r="B2" s="1044"/>
      <c r="C2" s="1044"/>
      <c r="D2" s="1044"/>
      <c r="E2" s="1044"/>
      <c r="F2" s="1044"/>
      <c r="G2" s="1044"/>
      <c r="H2" s="1044"/>
      <c r="I2" s="1044"/>
    </row>
    <row r="3" spans="1:9" ht="15.75" x14ac:dyDescent="0.2">
      <c r="A3" s="1044"/>
      <c r="B3" s="1044"/>
      <c r="C3" s="1044"/>
      <c r="D3" s="1044"/>
      <c r="E3" s="1044"/>
      <c r="F3" s="1044"/>
      <c r="G3" s="1044"/>
      <c r="H3" s="1044"/>
      <c r="I3" s="1044"/>
    </row>
    <row r="4" spans="1:9" ht="15.75" x14ac:dyDescent="0.2">
      <c r="A4" s="1044"/>
      <c r="B4" s="1044"/>
      <c r="C4" s="1044"/>
      <c r="D4" s="1044"/>
      <c r="E4" s="1044"/>
      <c r="F4" s="1044"/>
      <c r="G4" s="1044"/>
      <c r="H4" s="1044"/>
      <c r="I4" s="1044"/>
    </row>
    <row r="5" spans="1:9" ht="15.75" x14ac:dyDescent="0.2">
      <c r="A5" s="1044"/>
      <c r="B5" s="1044"/>
      <c r="C5" s="1044"/>
      <c r="D5" s="1044"/>
      <c r="E5" s="1044"/>
      <c r="F5" s="1044"/>
      <c r="G5" s="1044"/>
      <c r="H5" s="1044"/>
      <c r="I5" s="1044"/>
    </row>
    <row r="6" spans="1:9" ht="15.75" x14ac:dyDescent="0.2">
      <c r="A6" s="1044"/>
      <c r="B6" s="1044"/>
      <c r="C6" s="1044"/>
      <c r="D6" s="1044"/>
      <c r="E6" s="1044"/>
      <c r="F6" s="1044"/>
      <c r="G6" s="1044"/>
      <c r="H6" s="1044"/>
      <c r="I6" s="1044"/>
    </row>
    <row r="7" spans="1:9" ht="15.75" x14ac:dyDescent="0.2">
      <c r="A7" s="1044"/>
      <c r="B7" s="1044"/>
      <c r="C7" s="1044"/>
      <c r="D7" s="1044"/>
      <c r="E7" s="1044"/>
      <c r="F7" s="1044"/>
      <c r="G7" s="1044"/>
      <c r="H7" s="1044"/>
      <c r="I7" s="1044"/>
    </row>
    <row r="8" spans="1:9" ht="15.75" x14ac:dyDescent="0.2">
      <c r="A8" s="1044"/>
      <c r="B8" s="1044"/>
      <c r="C8" s="1044"/>
      <c r="D8" s="1044"/>
      <c r="E8" s="1044"/>
      <c r="F8" s="1044"/>
      <c r="G8" s="1044"/>
      <c r="H8" s="1044"/>
      <c r="I8" s="1044"/>
    </row>
    <row r="9" spans="1:9" ht="15.75" x14ac:dyDescent="0.2">
      <c r="A9" s="1044"/>
      <c r="B9" s="1044"/>
      <c r="C9" s="1044"/>
      <c r="D9" s="1044"/>
      <c r="E9" s="1044"/>
      <c r="F9" s="1044"/>
      <c r="G9" s="1044"/>
      <c r="H9" s="1044"/>
      <c r="I9" s="1044"/>
    </row>
    <row r="10" spans="1:9" ht="15.75" x14ac:dyDescent="0.2">
      <c r="A10" s="1044"/>
      <c r="B10" s="1044"/>
      <c r="C10" s="1044"/>
      <c r="D10" s="1044"/>
      <c r="E10" s="1044"/>
      <c r="F10" s="1044"/>
      <c r="G10" s="1044"/>
      <c r="H10" s="1044"/>
      <c r="I10" s="1044"/>
    </row>
    <row r="11" spans="1:9" ht="15.75" x14ac:dyDescent="0.2">
      <c r="A11" s="1044"/>
      <c r="B11" s="1044"/>
      <c r="C11" s="1044"/>
      <c r="D11" s="1044"/>
      <c r="E11" s="1044"/>
      <c r="F11" s="1044"/>
      <c r="G11" s="1044"/>
      <c r="H11" s="1044"/>
      <c r="I11" s="1044"/>
    </row>
    <row r="12" spans="1:9" ht="15.75" x14ac:dyDescent="0.2">
      <c r="A12" s="1044"/>
      <c r="B12" s="1044"/>
      <c r="C12" s="1044"/>
      <c r="D12" s="1044"/>
      <c r="E12" s="1044"/>
      <c r="F12" s="1044"/>
      <c r="G12" s="1044"/>
      <c r="H12" s="1044"/>
      <c r="I12" s="1044"/>
    </row>
    <row r="13" spans="1:9" ht="15.75" x14ac:dyDescent="0.2">
      <c r="A13" s="1044"/>
      <c r="B13" s="1044"/>
      <c r="C13" s="1044"/>
      <c r="D13" s="1044"/>
      <c r="E13" s="1044"/>
      <c r="F13" s="1044"/>
      <c r="G13" s="1044"/>
      <c r="H13" s="1044"/>
      <c r="I13" s="1044"/>
    </row>
    <row r="14" spans="1:9" ht="15.75" x14ac:dyDescent="0.2">
      <c r="A14" s="1044"/>
      <c r="B14" s="1044"/>
      <c r="C14" s="1044"/>
      <c r="D14" s="1044"/>
      <c r="E14" s="1044"/>
      <c r="F14" s="1044"/>
      <c r="G14" s="1044"/>
      <c r="H14" s="1044"/>
      <c r="I14" s="1044"/>
    </row>
    <row r="15" spans="1:9" ht="15.75" x14ac:dyDescent="0.2">
      <c r="A15" s="1044"/>
      <c r="B15" s="1044"/>
      <c r="C15" s="1044"/>
      <c r="D15" s="1044"/>
      <c r="E15" s="1044"/>
      <c r="F15" s="1044"/>
      <c r="G15" s="1044"/>
      <c r="H15" s="1044"/>
      <c r="I15" s="1044"/>
    </row>
    <row r="16" spans="1:9" ht="15.75" x14ac:dyDescent="0.2">
      <c r="A16" s="1044"/>
      <c r="B16" s="1044"/>
      <c r="C16" s="1044"/>
      <c r="D16" s="1044"/>
      <c r="E16" s="1044"/>
      <c r="F16" s="1044"/>
      <c r="G16" s="1044"/>
      <c r="H16" s="1044"/>
      <c r="I16" s="1044"/>
    </row>
    <row r="17" spans="1:9" ht="15.75" x14ac:dyDescent="0.2">
      <c r="A17" s="1044"/>
      <c r="B17" s="1044"/>
      <c r="C17" s="1044"/>
      <c r="D17" s="1044"/>
      <c r="E17" s="1044"/>
      <c r="F17" s="1044"/>
      <c r="G17" s="1044"/>
      <c r="H17" s="1044"/>
      <c r="I17" s="1044"/>
    </row>
    <row r="18" spans="1:9" ht="15.75" x14ac:dyDescent="0.2">
      <c r="A18" s="1044"/>
      <c r="B18" s="1044"/>
      <c r="C18" s="1044"/>
      <c r="D18" s="1044"/>
      <c r="E18" s="1044"/>
      <c r="F18" s="1044"/>
      <c r="G18" s="1044"/>
      <c r="H18" s="1044"/>
      <c r="I18" s="1044"/>
    </row>
    <row r="19" spans="1:9" ht="15.75" x14ac:dyDescent="0.2">
      <c r="A19" s="1044"/>
      <c r="B19" s="1044"/>
      <c r="C19" s="1044"/>
      <c r="D19" s="1044"/>
      <c r="E19" s="1044"/>
      <c r="F19" s="1044"/>
      <c r="G19" s="1044"/>
      <c r="H19" s="1044"/>
      <c r="I19" s="1044"/>
    </row>
    <row r="20" spans="1:9" ht="15.75" x14ac:dyDescent="0.2">
      <c r="A20" s="1044"/>
      <c r="B20" s="1044"/>
      <c r="C20" s="1044"/>
      <c r="D20" s="1044"/>
      <c r="E20" s="1044"/>
      <c r="F20" s="1044"/>
      <c r="G20" s="1044"/>
      <c r="H20" s="1044"/>
      <c r="I20" s="1044"/>
    </row>
    <row r="21" spans="1:9" ht="15.75" x14ac:dyDescent="0.2">
      <c r="A21" s="1044"/>
      <c r="B21" s="1044"/>
      <c r="C21" s="1044"/>
      <c r="D21" s="1044"/>
      <c r="E21" s="1044"/>
      <c r="F21" s="1044"/>
      <c r="G21" s="1044"/>
      <c r="H21" s="1044"/>
      <c r="I21" s="1044"/>
    </row>
    <row r="22" spans="1:9" ht="15.75" x14ac:dyDescent="0.2">
      <c r="A22" s="1044"/>
      <c r="B22" s="1044"/>
      <c r="C22" s="1044"/>
      <c r="D22" s="1044"/>
      <c r="E22" s="1044"/>
      <c r="F22" s="1044"/>
      <c r="G22" s="1044"/>
      <c r="H22" s="1044"/>
      <c r="I22" s="1044"/>
    </row>
    <row r="23" spans="1:9" ht="15.75" x14ac:dyDescent="0.2">
      <c r="A23" s="1044"/>
      <c r="B23" s="1044"/>
      <c r="C23" s="1044"/>
      <c r="D23" s="1044"/>
      <c r="E23" s="1044"/>
      <c r="F23" s="1044"/>
      <c r="G23" s="1044"/>
      <c r="H23" s="1044"/>
      <c r="I23" s="1044"/>
    </row>
    <row r="24" spans="1:9" ht="15.75" x14ac:dyDescent="0.2">
      <c r="A24" s="1044"/>
      <c r="B24" s="1044"/>
      <c r="C24" s="1044"/>
      <c r="D24" s="1044"/>
      <c r="E24" s="1044"/>
      <c r="F24" s="1044"/>
      <c r="G24" s="1044"/>
      <c r="H24" s="1044"/>
      <c r="I24" s="1044"/>
    </row>
    <row r="25" spans="1:9" ht="15.75" x14ac:dyDescent="0.2">
      <c r="A25" s="1044"/>
      <c r="B25" s="1044"/>
      <c r="C25" s="1044"/>
      <c r="D25" s="1044"/>
      <c r="E25" s="1044"/>
      <c r="F25" s="1044"/>
      <c r="G25" s="1044"/>
      <c r="H25" s="1044"/>
      <c r="I25" s="1044"/>
    </row>
    <row r="26" spans="1:9" ht="15.75" x14ac:dyDescent="0.2">
      <c r="A26" s="1044"/>
      <c r="B26" s="1044"/>
      <c r="C26" s="1044"/>
      <c r="D26" s="1044"/>
      <c r="E26" s="1044"/>
      <c r="F26" s="1044"/>
      <c r="G26" s="1044"/>
      <c r="H26" s="1044"/>
      <c r="I26" s="1044"/>
    </row>
    <row r="27" spans="1:9" ht="15.75" x14ac:dyDescent="0.2">
      <c r="A27" s="1044"/>
      <c r="B27" s="1044"/>
      <c r="C27" s="1044"/>
      <c r="D27" s="1044"/>
      <c r="E27" s="1044"/>
      <c r="F27" s="1044"/>
      <c r="G27" s="1044"/>
      <c r="H27" s="1044"/>
      <c r="I27" s="1044"/>
    </row>
    <row r="28" spans="1:9" ht="15.75" x14ac:dyDescent="0.2">
      <c r="A28" s="1044"/>
      <c r="B28" s="1044"/>
      <c r="C28" s="1044"/>
      <c r="D28" s="1044"/>
      <c r="E28" s="1044"/>
      <c r="F28" s="1044"/>
      <c r="G28" s="1044"/>
      <c r="H28" s="1044"/>
      <c r="I28" s="1044"/>
    </row>
    <row r="29" spans="1:9" ht="15.75" x14ac:dyDescent="0.2">
      <c r="A29" s="1044"/>
      <c r="B29" s="1044"/>
      <c r="C29" s="1044"/>
      <c r="D29" s="1044"/>
      <c r="E29" s="1044"/>
      <c r="F29" s="1044"/>
      <c r="G29" s="1044"/>
      <c r="H29" s="1044"/>
      <c r="I29" s="1044"/>
    </row>
    <row r="30" spans="1:9" ht="15.75" x14ac:dyDescent="0.2">
      <c r="A30" s="1044"/>
      <c r="B30" s="1044"/>
      <c r="C30" s="1044"/>
      <c r="D30" s="1044"/>
      <c r="E30" s="1044"/>
      <c r="F30" s="1044"/>
      <c r="G30" s="1044"/>
      <c r="H30" s="1044"/>
      <c r="I30" s="1044"/>
    </row>
    <row r="31" spans="1:9" ht="15.75" x14ac:dyDescent="0.2">
      <c r="A31" s="1044"/>
      <c r="B31" s="1044"/>
      <c r="C31" s="1044"/>
      <c r="D31" s="1044"/>
      <c r="E31" s="1044"/>
      <c r="F31" s="1044"/>
      <c r="G31" s="1044"/>
      <c r="H31" s="1044"/>
      <c r="I31" s="1044"/>
    </row>
    <row r="32" spans="1:9" ht="15.75" x14ac:dyDescent="0.2">
      <c r="A32" s="1044"/>
      <c r="B32" s="1044"/>
      <c r="C32" s="1044"/>
      <c r="D32" s="1044"/>
      <c r="E32" s="1044"/>
      <c r="F32" s="1044"/>
      <c r="G32" s="1044"/>
      <c r="H32" s="1044"/>
      <c r="I32" s="1044"/>
    </row>
    <row r="33" spans="1:9" ht="15.75" x14ac:dyDescent="0.2">
      <c r="A33" s="1044"/>
      <c r="B33" s="1044"/>
      <c r="C33" s="1044"/>
      <c r="D33" s="1044"/>
      <c r="E33" s="1044"/>
      <c r="F33" s="1044"/>
      <c r="G33" s="1044"/>
      <c r="H33" s="1044"/>
      <c r="I33" s="1044"/>
    </row>
    <row r="34" spans="1:9" ht="15.75" x14ac:dyDescent="0.2">
      <c r="A34" s="1044"/>
      <c r="B34" s="1044"/>
      <c r="C34" s="1044"/>
      <c r="D34" s="1044"/>
      <c r="E34" s="1044"/>
      <c r="F34" s="1044"/>
      <c r="G34" s="1044"/>
      <c r="H34" s="1044"/>
      <c r="I34" s="1044"/>
    </row>
    <row r="35" spans="1:9" ht="15.75" x14ac:dyDescent="0.2">
      <c r="A35" s="1044"/>
      <c r="B35" s="1044"/>
      <c r="C35" s="1044"/>
      <c r="D35" s="1044"/>
      <c r="E35" s="1044"/>
      <c r="F35" s="1044"/>
      <c r="G35" s="1044"/>
      <c r="H35" s="1044"/>
      <c r="I35" s="1044"/>
    </row>
    <row r="36" spans="1:9" ht="15.75" x14ac:dyDescent="0.2">
      <c r="A36" s="1044"/>
      <c r="B36" s="1044"/>
      <c r="C36" s="1044"/>
      <c r="D36" s="1044"/>
      <c r="E36" s="1044"/>
      <c r="F36" s="1044"/>
      <c r="G36" s="1044"/>
      <c r="H36" s="1044"/>
      <c r="I36" s="1044"/>
    </row>
    <row r="37" spans="1:9" ht="20.25" x14ac:dyDescent="0.2">
      <c r="A37" s="1046"/>
      <c r="B37" s="1046"/>
      <c r="C37" s="1046"/>
      <c r="D37" s="1046"/>
      <c r="E37" s="1046"/>
      <c r="F37" s="1046"/>
      <c r="G37" s="1046"/>
      <c r="H37" s="1046"/>
      <c r="I37" s="1046"/>
    </row>
    <row r="38" spans="1:9" ht="20.25" x14ac:dyDescent="0.2">
      <c r="A38" s="1046"/>
      <c r="B38" s="1046"/>
      <c r="C38" s="1046"/>
      <c r="D38" s="1046"/>
      <c r="E38" s="1046"/>
      <c r="F38" s="1046"/>
      <c r="G38" s="1046"/>
      <c r="H38" s="1046"/>
      <c r="I38" s="1046"/>
    </row>
    <row r="39" spans="1:9" ht="20.25" x14ac:dyDescent="0.2">
      <c r="A39" s="1046"/>
      <c r="B39" s="1046"/>
      <c r="C39" s="1046"/>
      <c r="D39" s="1046"/>
      <c r="E39" s="1046"/>
      <c r="F39" s="1046"/>
      <c r="G39" s="1046"/>
      <c r="H39" s="1046"/>
      <c r="I39" s="1046"/>
    </row>
    <row r="40" spans="1:9" ht="20.25" x14ac:dyDescent="0.2">
      <c r="A40" s="1046"/>
      <c r="B40" s="1046"/>
      <c r="C40" s="1046"/>
      <c r="D40" s="1046"/>
      <c r="E40" s="1046"/>
      <c r="F40" s="1046"/>
      <c r="G40" s="1046"/>
      <c r="H40" s="1046"/>
      <c r="I40" s="1046"/>
    </row>
    <row r="41" spans="1:9" ht="20.25" x14ac:dyDescent="0.2">
      <c r="A41" s="1046"/>
      <c r="B41" s="1046"/>
      <c r="C41" s="1046"/>
      <c r="D41" s="1046"/>
      <c r="E41" s="1046"/>
      <c r="F41" s="1046"/>
      <c r="G41" s="1046"/>
      <c r="H41" s="1046"/>
      <c r="I41" s="1046"/>
    </row>
    <row r="42" spans="1:9" ht="20.25" x14ac:dyDescent="0.2">
      <c r="A42" s="1046"/>
      <c r="B42" s="1046"/>
      <c r="C42" s="1046"/>
      <c r="D42" s="1046"/>
      <c r="E42" s="1046"/>
      <c r="F42" s="1046"/>
      <c r="G42" s="1046"/>
      <c r="H42" s="1046"/>
      <c r="I42" s="1046"/>
    </row>
    <row r="43" spans="1:9" ht="20.25" x14ac:dyDescent="0.2">
      <c r="A43" s="1046"/>
      <c r="B43" s="1046"/>
      <c r="C43" s="1046"/>
      <c r="D43" s="1046"/>
      <c r="E43" s="1046"/>
      <c r="F43" s="1046"/>
      <c r="G43" s="1046"/>
      <c r="H43" s="1046"/>
      <c r="I43" s="1046"/>
    </row>
    <row r="44" spans="1:9" ht="20.25" x14ac:dyDescent="0.2">
      <c r="A44" s="1046"/>
      <c r="B44" s="1046"/>
      <c r="C44" s="1046"/>
      <c r="D44" s="1046"/>
      <c r="E44" s="1046"/>
      <c r="F44" s="1046"/>
      <c r="G44" s="1046"/>
      <c r="H44" s="1046"/>
      <c r="I44" s="1046"/>
    </row>
    <row r="45" spans="1:9" ht="20.25" x14ac:dyDescent="0.2">
      <c r="A45" s="1046"/>
      <c r="B45" s="1046"/>
      <c r="C45" s="1046"/>
      <c r="D45" s="1046"/>
      <c r="E45" s="1046"/>
      <c r="F45" s="1046"/>
      <c r="G45" s="1046"/>
      <c r="H45" s="1046"/>
      <c r="I45" s="1046"/>
    </row>
    <row r="46" spans="1:9" ht="20.25" x14ac:dyDescent="0.2">
      <c r="A46" s="1046"/>
      <c r="B46" s="1046"/>
      <c r="C46" s="1046"/>
      <c r="D46" s="1046"/>
      <c r="E46" s="1046"/>
      <c r="F46" s="1046"/>
      <c r="G46" s="1046"/>
      <c r="H46" s="1046"/>
      <c r="I46" s="1046"/>
    </row>
    <row r="47" spans="1:9" ht="20.25" x14ac:dyDescent="0.2">
      <c r="A47" s="1046"/>
      <c r="B47" s="1046"/>
      <c r="C47" s="1046"/>
      <c r="D47" s="1046"/>
      <c r="E47" s="1046"/>
      <c r="F47" s="1046"/>
      <c r="G47" s="1046"/>
      <c r="H47" s="1046"/>
      <c r="I47" s="1046"/>
    </row>
    <row r="48" spans="1:9" ht="20.25" x14ac:dyDescent="0.2">
      <c r="A48" s="1046"/>
      <c r="B48" s="1046"/>
      <c r="C48" s="1046"/>
      <c r="D48" s="1046"/>
      <c r="E48" s="1046"/>
      <c r="F48" s="1046"/>
      <c r="G48" s="1046"/>
      <c r="H48" s="1046"/>
      <c r="I48" s="1046"/>
    </row>
    <row r="49" spans="1:9" ht="20.25" x14ac:dyDescent="0.2">
      <c r="A49" s="1046"/>
      <c r="B49" s="1046"/>
      <c r="C49" s="1046"/>
      <c r="D49" s="1046"/>
      <c r="E49" s="1046"/>
      <c r="F49" s="1046"/>
      <c r="G49" s="1046"/>
      <c r="H49" s="1046"/>
      <c r="I49" s="1046"/>
    </row>
    <row r="50" spans="1:9" ht="20.25" x14ac:dyDescent="0.2">
      <c r="A50" s="1046"/>
      <c r="B50" s="1046"/>
      <c r="C50" s="1046"/>
      <c r="D50" s="1046"/>
      <c r="E50" s="1046"/>
      <c r="F50" s="1046"/>
      <c r="G50" s="1046"/>
      <c r="H50" s="1046"/>
      <c r="I50" s="1046"/>
    </row>
    <row r="51" spans="1:9" ht="20.25" x14ac:dyDescent="0.2">
      <c r="A51" s="1046"/>
      <c r="B51" s="1046"/>
      <c r="C51" s="1046"/>
      <c r="D51" s="1046"/>
      <c r="E51" s="1046"/>
      <c r="F51" s="1046"/>
      <c r="G51" s="1046"/>
      <c r="H51" s="1046"/>
      <c r="I51" s="1046"/>
    </row>
    <row r="52" spans="1:9" ht="20.25" x14ac:dyDescent="0.2">
      <c r="A52" s="1046"/>
      <c r="B52" s="1046"/>
      <c r="C52" s="1046"/>
      <c r="D52" s="1046"/>
      <c r="E52" s="1046"/>
      <c r="F52" s="1046"/>
      <c r="G52" s="1046"/>
      <c r="H52" s="1046"/>
      <c r="I52" s="1046"/>
    </row>
    <row r="53" spans="1:9" ht="20.25" x14ac:dyDescent="0.2">
      <c r="A53" s="1046"/>
      <c r="B53" s="1046"/>
      <c r="C53" s="1046"/>
      <c r="D53" s="1046"/>
      <c r="E53" s="1046"/>
      <c r="F53" s="1046"/>
      <c r="G53" s="1046"/>
      <c r="H53" s="1046"/>
      <c r="I53" s="1046"/>
    </row>
    <row r="54" spans="1:9" ht="20.25" x14ac:dyDescent="0.2">
      <c r="A54" s="1046"/>
      <c r="B54" s="1046"/>
      <c r="C54" s="1046"/>
      <c r="D54" s="1046"/>
      <c r="E54" s="1046"/>
      <c r="F54" s="1046"/>
      <c r="G54" s="1046"/>
      <c r="H54" s="1046"/>
      <c r="I54" s="1046"/>
    </row>
    <row r="55" spans="1:9" ht="20.25" x14ac:dyDescent="0.2">
      <c r="A55" s="1046"/>
      <c r="B55" s="1046"/>
      <c r="C55" s="1046"/>
      <c r="D55" s="1046"/>
      <c r="E55" s="1046"/>
      <c r="F55" s="1046"/>
      <c r="G55" s="1046"/>
      <c r="H55" s="1046"/>
      <c r="I55" s="1046"/>
    </row>
    <row r="56" spans="1:9" ht="20.25" x14ac:dyDescent="0.2">
      <c r="A56" s="1046"/>
      <c r="B56" s="1046"/>
      <c r="C56" s="1046"/>
      <c r="D56" s="1046"/>
      <c r="E56" s="1046"/>
      <c r="F56" s="1046"/>
      <c r="G56" s="1046"/>
      <c r="H56" s="1046"/>
      <c r="I56" s="1046"/>
    </row>
    <row r="57" spans="1:9" ht="20.25" x14ac:dyDescent="0.2">
      <c r="A57" s="1046"/>
      <c r="B57" s="1046"/>
      <c r="C57" s="1046"/>
      <c r="D57" s="1046"/>
      <c r="E57" s="1046"/>
      <c r="F57" s="1046"/>
      <c r="G57" s="1046"/>
      <c r="H57" s="1046"/>
      <c r="I57" s="1046"/>
    </row>
    <row r="58" spans="1:9" ht="20.25" x14ac:dyDescent="0.2">
      <c r="A58" s="1046"/>
      <c r="B58" s="1046"/>
      <c r="C58" s="1046"/>
      <c r="D58" s="1046"/>
      <c r="E58" s="1046"/>
      <c r="F58" s="1046"/>
      <c r="G58" s="1046"/>
      <c r="H58" s="1046"/>
      <c r="I58" s="1046"/>
    </row>
  </sheetData>
  <sheetProtection algorithmName="SHA-512" hashValue="AFRBRxxI794s1zm86O6vBBRThKv0aYEC2Rk8UeoosWXL11UjrG/DhBxYH/M5fi0QZNgX/Jl6C8AOFtvVb+wA/w==" saltValue="PNZMbANPFzKUXb1/m8U5dA==" spinCount="100000" sheet="1" objects="1" scenarios="1"/>
  <mergeCells count="58">
    <mergeCell ref="A55:I55"/>
    <mergeCell ref="A56:I56"/>
    <mergeCell ref="A57:I57"/>
    <mergeCell ref="A58:I58"/>
    <mergeCell ref="A49:I49"/>
    <mergeCell ref="A50:I50"/>
    <mergeCell ref="A51:I51"/>
    <mergeCell ref="A52:I52"/>
    <mergeCell ref="A53:I53"/>
    <mergeCell ref="A54:I54"/>
    <mergeCell ref="A48:I48"/>
    <mergeCell ref="A37:I37"/>
    <mergeCell ref="A38:I38"/>
    <mergeCell ref="A39:I39"/>
    <mergeCell ref="A40:I40"/>
    <mergeCell ref="A41:I41"/>
    <mergeCell ref="A42:I42"/>
    <mergeCell ref="A43:I43"/>
    <mergeCell ref="A44:I44"/>
    <mergeCell ref="A45:I45"/>
    <mergeCell ref="A46:I46"/>
    <mergeCell ref="A47:I47"/>
    <mergeCell ref="A36:I36"/>
    <mergeCell ref="A25:I25"/>
    <mergeCell ref="A26:I26"/>
    <mergeCell ref="A27:I27"/>
    <mergeCell ref="A28:I28"/>
    <mergeCell ref="A29:I29"/>
    <mergeCell ref="A30:I30"/>
    <mergeCell ref="A31:I31"/>
    <mergeCell ref="A32:I32"/>
    <mergeCell ref="A33:I33"/>
    <mergeCell ref="A34:I34"/>
    <mergeCell ref="A35:I35"/>
    <mergeCell ref="A24:I24"/>
    <mergeCell ref="A13:I13"/>
    <mergeCell ref="A14:I14"/>
    <mergeCell ref="A15:I15"/>
    <mergeCell ref="A16:I16"/>
    <mergeCell ref="A17:I17"/>
    <mergeCell ref="A18:I18"/>
    <mergeCell ref="A19:I19"/>
    <mergeCell ref="A20:I20"/>
    <mergeCell ref="A21:I21"/>
    <mergeCell ref="A22:I22"/>
    <mergeCell ref="A23:I23"/>
    <mergeCell ref="A12:I12"/>
    <mergeCell ref="A1:I1"/>
    <mergeCell ref="A2:I2"/>
    <mergeCell ref="A3:I3"/>
    <mergeCell ref="A4:I4"/>
    <mergeCell ref="A5:I5"/>
    <mergeCell ref="A6:I6"/>
    <mergeCell ref="A7:I7"/>
    <mergeCell ref="A8:I8"/>
    <mergeCell ref="A9:I9"/>
    <mergeCell ref="A10:I10"/>
    <mergeCell ref="A11:I11"/>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59999389629810485"/>
  </sheetPr>
  <dimension ref="A1:IR388"/>
  <sheetViews>
    <sheetView showGridLines="0" topLeftCell="A273" zoomScale="98" zoomScaleNormal="98" zoomScaleSheetLayoutView="90" workbookViewId="0">
      <pane xSplit="1" topLeftCell="B1" activePane="topRight" state="frozen"/>
      <selection pane="topRight" activeCell="B295" sqref="B295"/>
    </sheetView>
  </sheetViews>
  <sheetFormatPr defaultColWidth="6.28515625" defaultRowHeight="12.75" outlineLevelRow="1" x14ac:dyDescent="0.2"/>
  <cols>
    <col min="1" max="1" width="49" style="112" bestFit="1" customWidth="1"/>
    <col min="2" max="2" width="14.85546875" style="112" customWidth="1"/>
    <col min="3" max="5" width="12.140625" style="112" customWidth="1"/>
    <col min="6" max="6" width="12.140625" style="136" customWidth="1"/>
    <col min="7" max="35" width="12.140625" style="112" customWidth="1"/>
    <col min="36" max="36" width="10.140625" style="112" customWidth="1"/>
    <col min="37" max="37" width="6.28515625" style="112"/>
    <col min="38" max="38" width="8.140625" style="112" bestFit="1" customWidth="1"/>
    <col min="39" max="39" width="6.28515625" style="112"/>
    <col min="40" max="40" width="9.7109375" style="112" bestFit="1" customWidth="1"/>
    <col min="41" max="41" width="6.28515625" style="112"/>
    <col min="42" max="42" width="8.5703125" style="112" bestFit="1" customWidth="1"/>
    <col min="43" max="43" width="6.28515625" style="112"/>
    <col min="44" max="44" width="18.5703125" style="112" bestFit="1" customWidth="1"/>
    <col min="45" max="46" width="6.28515625" style="112"/>
    <col min="47" max="48" width="12.140625" style="112" bestFit="1" customWidth="1"/>
    <col min="49" max="16384" width="6.28515625" style="112"/>
  </cols>
  <sheetData>
    <row r="1" spans="1:44" s="107" customFormat="1" ht="24.75" customHeight="1" x14ac:dyDescent="0.2">
      <c r="A1" s="104" t="s">
        <v>507</v>
      </c>
      <c r="B1" s="12"/>
      <c r="C1" s="105"/>
      <c r="D1" s="105"/>
      <c r="E1" s="105"/>
      <c r="F1" s="106"/>
      <c r="G1" s="105"/>
      <c r="H1" s="105"/>
      <c r="I1" s="105"/>
      <c r="J1" s="105"/>
      <c r="K1" s="105"/>
      <c r="L1" s="105"/>
      <c r="M1" s="105"/>
      <c r="N1" s="105"/>
      <c r="O1" s="105"/>
      <c r="P1" s="105"/>
      <c r="Q1" s="105"/>
      <c r="R1" s="105"/>
      <c r="S1" s="105"/>
      <c r="T1" s="105"/>
      <c r="U1" s="105"/>
      <c r="V1" s="105"/>
      <c r="W1" s="105"/>
      <c r="X1" s="105"/>
      <c r="Y1" s="105"/>
      <c r="Z1" s="105"/>
    </row>
    <row r="2" spans="1:44" s="107" customFormat="1" ht="14.25" customHeight="1" x14ac:dyDescent="0.2">
      <c r="A2" s="108"/>
      <c r="B2" s="108"/>
      <c r="C2" s="105"/>
      <c r="D2" s="105"/>
      <c r="E2" s="105"/>
      <c r="F2" s="106"/>
      <c r="G2" s="105"/>
      <c r="H2" s="105"/>
      <c r="I2" s="105"/>
      <c r="J2" s="105"/>
      <c r="K2" s="105"/>
      <c r="L2" s="105"/>
      <c r="M2" s="105"/>
      <c r="N2" s="105"/>
      <c r="O2" s="105"/>
      <c r="P2" s="105"/>
      <c r="Q2" s="105"/>
      <c r="R2" s="105"/>
      <c r="S2" s="105"/>
      <c r="T2" s="105"/>
      <c r="U2" s="105"/>
      <c r="V2" s="105"/>
      <c r="W2" s="105"/>
      <c r="X2" s="105"/>
      <c r="Y2" s="105"/>
      <c r="Z2" s="105"/>
    </row>
    <row r="3" spans="1:44" ht="15.75" x14ac:dyDescent="0.2">
      <c r="A3" s="109" t="s">
        <v>102</v>
      </c>
      <c r="B3" s="110"/>
      <c r="C3" s="110"/>
      <c r="D3" s="110"/>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L3" s="113"/>
    </row>
    <row r="4" spans="1:44" ht="31.5" x14ac:dyDescent="0.2">
      <c r="A4" s="114" t="s">
        <v>544</v>
      </c>
      <c r="B4" s="115"/>
      <c r="C4" s="115"/>
      <c r="D4" s="115"/>
      <c r="E4" s="115"/>
      <c r="F4" s="116"/>
      <c r="G4" s="115"/>
      <c r="H4" s="115"/>
      <c r="I4" s="115"/>
      <c r="J4" s="115"/>
      <c r="K4" s="115"/>
      <c r="L4" s="115"/>
      <c r="M4" s="117"/>
      <c r="N4" s="115"/>
      <c r="O4" s="115"/>
      <c r="P4" s="115" t="s">
        <v>16</v>
      </c>
      <c r="Q4" s="115"/>
      <c r="R4" s="115"/>
      <c r="S4" s="115"/>
      <c r="T4" s="115"/>
      <c r="U4" s="115"/>
      <c r="V4" s="115"/>
      <c r="W4" s="115"/>
      <c r="X4" s="115"/>
      <c r="Y4" s="115"/>
      <c r="Z4" s="118"/>
      <c r="AA4" s="118"/>
      <c r="AB4" s="118"/>
      <c r="AC4" s="118"/>
      <c r="AD4" s="118"/>
      <c r="AE4" s="118"/>
      <c r="AF4" s="118"/>
      <c r="AG4" s="118"/>
      <c r="AH4" s="118"/>
      <c r="AI4" s="119"/>
      <c r="AL4" s="113"/>
    </row>
    <row r="5" spans="1:44" x14ac:dyDescent="0.2">
      <c r="A5" s="120"/>
      <c r="B5" s="9">
        <f>'Datu ievade'!B13</f>
        <v>2019</v>
      </c>
      <c r="C5" s="9">
        <f t="shared" ref="C5:AH5" si="0">B5+1</f>
        <v>2020</v>
      </c>
      <c r="D5" s="9">
        <f t="shared" si="0"/>
        <v>2021</v>
      </c>
      <c r="E5" s="9">
        <f t="shared" si="0"/>
        <v>2022</v>
      </c>
      <c r="F5" s="8">
        <f t="shared" si="0"/>
        <v>2023</v>
      </c>
      <c r="G5" s="9">
        <f t="shared" si="0"/>
        <v>2024</v>
      </c>
      <c r="H5" s="9">
        <f t="shared" si="0"/>
        <v>2025</v>
      </c>
      <c r="I5" s="9">
        <f t="shared" si="0"/>
        <v>2026</v>
      </c>
      <c r="J5" s="9">
        <f t="shared" si="0"/>
        <v>2027</v>
      </c>
      <c r="K5" s="9">
        <f t="shared" si="0"/>
        <v>2028</v>
      </c>
      <c r="L5" s="9">
        <f t="shared" si="0"/>
        <v>2029</v>
      </c>
      <c r="M5" s="9">
        <f t="shared" si="0"/>
        <v>2030</v>
      </c>
      <c r="N5" s="9">
        <f t="shared" si="0"/>
        <v>2031</v>
      </c>
      <c r="O5" s="9">
        <f t="shared" si="0"/>
        <v>2032</v>
      </c>
      <c r="P5" s="9">
        <f t="shared" si="0"/>
        <v>2033</v>
      </c>
      <c r="Q5" s="9">
        <f t="shared" si="0"/>
        <v>2034</v>
      </c>
      <c r="R5" s="9">
        <f t="shared" si="0"/>
        <v>2035</v>
      </c>
      <c r="S5" s="9">
        <f t="shared" si="0"/>
        <v>2036</v>
      </c>
      <c r="T5" s="9">
        <f t="shared" si="0"/>
        <v>2037</v>
      </c>
      <c r="U5" s="9">
        <f t="shared" si="0"/>
        <v>2038</v>
      </c>
      <c r="V5" s="9">
        <f t="shared" si="0"/>
        <v>2039</v>
      </c>
      <c r="W5" s="9">
        <f t="shared" si="0"/>
        <v>2040</v>
      </c>
      <c r="X5" s="9">
        <f t="shared" si="0"/>
        <v>2041</v>
      </c>
      <c r="Y5" s="9">
        <f t="shared" si="0"/>
        <v>2042</v>
      </c>
      <c r="Z5" s="9">
        <f t="shared" si="0"/>
        <v>2043</v>
      </c>
      <c r="AA5" s="9">
        <f t="shared" si="0"/>
        <v>2044</v>
      </c>
      <c r="AB5" s="9">
        <f t="shared" si="0"/>
        <v>2045</v>
      </c>
      <c r="AC5" s="9">
        <f t="shared" si="0"/>
        <v>2046</v>
      </c>
      <c r="AD5" s="9">
        <f t="shared" si="0"/>
        <v>2047</v>
      </c>
      <c r="AE5" s="9">
        <f t="shared" si="0"/>
        <v>2048</v>
      </c>
      <c r="AF5" s="9">
        <f t="shared" si="0"/>
        <v>2049</v>
      </c>
      <c r="AG5" s="9">
        <f t="shared" si="0"/>
        <v>2050</v>
      </c>
      <c r="AH5" s="9">
        <f t="shared" si="0"/>
        <v>2051</v>
      </c>
      <c r="AI5" s="9">
        <f>AH5+1</f>
        <v>2052</v>
      </c>
      <c r="AL5" s="113"/>
    </row>
    <row r="6" spans="1:44" x14ac:dyDescent="0.2">
      <c r="A6" s="121" t="s">
        <v>24</v>
      </c>
      <c r="B6" s="122"/>
      <c r="C6" s="123"/>
      <c r="D6" s="123"/>
      <c r="E6" s="123"/>
      <c r="F6" s="124"/>
      <c r="G6" s="123"/>
      <c r="H6" s="123"/>
      <c r="I6" s="123"/>
      <c r="J6" s="123"/>
      <c r="K6" s="123"/>
      <c r="L6" s="123"/>
      <c r="M6" s="125"/>
      <c r="N6" s="123"/>
      <c r="O6" s="123"/>
      <c r="P6" s="123"/>
      <c r="Q6" s="123"/>
      <c r="R6" s="123"/>
      <c r="S6" s="123"/>
      <c r="T6" s="123"/>
      <c r="U6" s="123"/>
      <c r="V6" s="123"/>
      <c r="W6" s="123"/>
      <c r="X6" s="123"/>
      <c r="Y6" s="123"/>
      <c r="Z6" s="123"/>
      <c r="AA6" s="123"/>
      <c r="AB6" s="123"/>
      <c r="AC6" s="123"/>
      <c r="AD6" s="123"/>
      <c r="AE6" s="123"/>
      <c r="AF6" s="123"/>
      <c r="AG6" s="123"/>
      <c r="AH6" s="123"/>
      <c r="AI6" s="123"/>
      <c r="AL6" s="113"/>
    </row>
    <row r="7" spans="1:44" s="131" customFormat="1" ht="25.5" x14ac:dyDescent="0.2">
      <c r="A7" s="126" t="s">
        <v>251</v>
      </c>
      <c r="B7" s="127"/>
      <c r="C7" s="128"/>
      <c r="D7" s="128"/>
      <c r="E7" s="128"/>
      <c r="F7" s="129"/>
      <c r="G7" s="128"/>
      <c r="H7" s="128"/>
      <c r="I7" s="128"/>
      <c r="J7" s="130"/>
      <c r="K7" s="128"/>
      <c r="L7" s="130"/>
      <c r="M7" s="130"/>
      <c r="N7" s="128"/>
      <c r="O7" s="128"/>
      <c r="P7" s="128"/>
      <c r="Q7" s="128"/>
      <c r="R7" s="128"/>
      <c r="S7" s="128"/>
      <c r="T7" s="128"/>
      <c r="U7" s="128"/>
      <c r="V7" s="128"/>
      <c r="W7" s="128"/>
      <c r="X7" s="128"/>
      <c r="Y7" s="128"/>
      <c r="Z7" s="128"/>
      <c r="AA7" s="128"/>
      <c r="AB7" s="128"/>
      <c r="AC7" s="128"/>
      <c r="AD7" s="128"/>
      <c r="AE7" s="128"/>
      <c r="AF7" s="128"/>
      <c r="AG7" s="128"/>
      <c r="AH7" s="128"/>
      <c r="AI7" s="128"/>
      <c r="AL7" s="113"/>
    </row>
    <row r="8" spans="1:44" x14ac:dyDescent="0.2">
      <c r="A8" s="132" t="s">
        <v>8</v>
      </c>
      <c r="B8" s="686">
        <f>'Datu ievade'!B20-'Datu ievade'!B31</f>
        <v>275930</v>
      </c>
      <c r="C8" s="687">
        <f t="shared" ref="C8:AH8" si="1">IF(B8&lt;B19,0,B8-B19)</f>
        <v>270320</v>
      </c>
      <c r="D8" s="687">
        <f t="shared" si="1"/>
        <v>264710</v>
      </c>
      <c r="E8" s="687">
        <f t="shared" si="1"/>
        <v>259100</v>
      </c>
      <c r="F8" s="687">
        <f t="shared" si="1"/>
        <v>253490</v>
      </c>
      <c r="G8" s="687">
        <f t="shared" si="1"/>
        <v>247880</v>
      </c>
      <c r="H8" s="687">
        <f t="shared" si="1"/>
        <v>242270</v>
      </c>
      <c r="I8" s="687">
        <f t="shared" si="1"/>
        <v>236660</v>
      </c>
      <c r="J8" s="687">
        <f t="shared" si="1"/>
        <v>231050</v>
      </c>
      <c r="K8" s="687">
        <f t="shared" si="1"/>
        <v>225440</v>
      </c>
      <c r="L8" s="687">
        <f t="shared" si="1"/>
        <v>219830</v>
      </c>
      <c r="M8" s="687">
        <f t="shared" si="1"/>
        <v>214220</v>
      </c>
      <c r="N8" s="687">
        <f t="shared" si="1"/>
        <v>208610</v>
      </c>
      <c r="O8" s="687">
        <f t="shared" si="1"/>
        <v>203000</v>
      </c>
      <c r="P8" s="687">
        <f t="shared" si="1"/>
        <v>197390</v>
      </c>
      <c r="Q8" s="687">
        <f t="shared" si="1"/>
        <v>191780</v>
      </c>
      <c r="R8" s="687">
        <f t="shared" si="1"/>
        <v>186170</v>
      </c>
      <c r="S8" s="687">
        <f t="shared" si="1"/>
        <v>180560</v>
      </c>
      <c r="T8" s="687">
        <f t="shared" si="1"/>
        <v>174950</v>
      </c>
      <c r="U8" s="687">
        <f t="shared" si="1"/>
        <v>169340</v>
      </c>
      <c r="V8" s="687">
        <f t="shared" si="1"/>
        <v>163730</v>
      </c>
      <c r="W8" s="687">
        <f t="shared" si="1"/>
        <v>158120</v>
      </c>
      <c r="X8" s="687">
        <f t="shared" si="1"/>
        <v>152510</v>
      </c>
      <c r="Y8" s="687">
        <f t="shared" si="1"/>
        <v>146900</v>
      </c>
      <c r="Z8" s="687">
        <f t="shared" si="1"/>
        <v>141290</v>
      </c>
      <c r="AA8" s="687">
        <f t="shared" si="1"/>
        <v>135680</v>
      </c>
      <c r="AB8" s="687">
        <f t="shared" si="1"/>
        <v>130070</v>
      </c>
      <c r="AC8" s="687">
        <f t="shared" si="1"/>
        <v>124460</v>
      </c>
      <c r="AD8" s="687">
        <f t="shared" si="1"/>
        <v>118850</v>
      </c>
      <c r="AE8" s="687">
        <f t="shared" si="1"/>
        <v>113240</v>
      </c>
      <c r="AF8" s="687">
        <f t="shared" si="1"/>
        <v>107630</v>
      </c>
      <c r="AG8" s="687">
        <f t="shared" si="1"/>
        <v>102020</v>
      </c>
      <c r="AH8" s="687">
        <f t="shared" si="1"/>
        <v>96410</v>
      </c>
      <c r="AI8" s="687">
        <f t="shared" ref="AI8:AI11" si="2">IF(AH8&lt;AH19,0,AH8-AH19)</f>
        <v>90800</v>
      </c>
      <c r="AL8" s="113"/>
      <c r="AN8" s="133"/>
      <c r="AP8" s="133"/>
      <c r="AR8" s="133"/>
    </row>
    <row r="9" spans="1:44" x14ac:dyDescent="0.2">
      <c r="A9" s="132" t="s">
        <v>9</v>
      </c>
      <c r="B9" s="686">
        <f>'Datu ievade'!B21-'Datu ievade'!B32</f>
        <v>14900</v>
      </c>
      <c r="C9" s="687">
        <f t="shared" ref="C9:AH9" si="3">IF(B9&lt;B20,0,B9-B20)</f>
        <v>14800</v>
      </c>
      <c r="D9" s="687">
        <f t="shared" si="3"/>
        <v>14700</v>
      </c>
      <c r="E9" s="687">
        <f t="shared" si="3"/>
        <v>14600</v>
      </c>
      <c r="F9" s="687">
        <f t="shared" si="3"/>
        <v>14500</v>
      </c>
      <c r="G9" s="687">
        <f t="shared" si="3"/>
        <v>14400</v>
      </c>
      <c r="H9" s="687">
        <f t="shared" si="3"/>
        <v>14300</v>
      </c>
      <c r="I9" s="687">
        <f t="shared" si="3"/>
        <v>14200</v>
      </c>
      <c r="J9" s="687">
        <f t="shared" si="3"/>
        <v>14100</v>
      </c>
      <c r="K9" s="687">
        <f t="shared" si="3"/>
        <v>14000</v>
      </c>
      <c r="L9" s="687">
        <f t="shared" si="3"/>
        <v>13900</v>
      </c>
      <c r="M9" s="687">
        <f t="shared" si="3"/>
        <v>13800</v>
      </c>
      <c r="N9" s="687">
        <f t="shared" si="3"/>
        <v>13700</v>
      </c>
      <c r="O9" s="687">
        <f t="shared" si="3"/>
        <v>13600</v>
      </c>
      <c r="P9" s="687">
        <f t="shared" si="3"/>
        <v>13500</v>
      </c>
      <c r="Q9" s="687">
        <f t="shared" si="3"/>
        <v>13400</v>
      </c>
      <c r="R9" s="687">
        <f t="shared" si="3"/>
        <v>13300</v>
      </c>
      <c r="S9" s="687">
        <f t="shared" si="3"/>
        <v>13200</v>
      </c>
      <c r="T9" s="687">
        <f t="shared" si="3"/>
        <v>13100</v>
      </c>
      <c r="U9" s="687">
        <f t="shared" si="3"/>
        <v>13000</v>
      </c>
      <c r="V9" s="687">
        <f t="shared" si="3"/>
        <v>12900</v>
      </c>
      <c r="W9" s="687">
        <f t="shared" si="3"/>
        <v>12800</v>
      </c>
      <c r="X9" s="687">
        <f t="shared" si="3"/>
        <v>12700</v>
      </c>
      <c r="Y9" s="687">
        <f t="shared" si="3"/>
        <v>12600</v>
      </c>
      <c r="Z9" s="687">
        <f t="shared" si="3"/>
        <v>12500</v>
      </c>
      <c r="AA9" s="687">
        <f t="shared" si="3"/>
        <v>12400</v>
      </c>
      <c r="AB9" s="687">
        <f t="shared" si="3"/>
        <v>12300</v>
      </c>
      <c r="AC9" s="687">
        <f t="shared" si="3"/>
        <v>12200</v>
      </c>
      <c r="AD9" s="687">
        <f t="shared" si="3"/>
        <v>12100</v>
      </c>
      <c r="AE9" s="687">
        <f t="shared" si="3"/>
        <v>12000</v>
      </c>
      <c r="AF9" s="687">
        <f t="shared" si="3"/>
        <v>11900</v>
      </c>
      <c r="AG9" s="687">
        <f t="shared" si="3"/>
        <v>11800</v>
      </c>
      <c r="AH9" s="687">
        <f t="shared" si="3"/>
        <v>11700</v>
      </c>
      <c r="AI9" s="687">
        <f t="shared" si="2"/>
        <v>11600</v>
      </c>
      <c r="AL9" s="113"/>
      <c r="AN9" s="133"/>
      <c r="AP9" s="133"/>
      <c r="AR9" s="133"/>
    </row>
    <row r="10" spans="1:44" x14ac:dyDescent="0.2">
      <c r="A10" s="132" t="s">
        <v>10</v>
      </c>
      <c r="B10" s="686">
        <f>'Datu ievade'!B22-'Datu ievade'!B33</f>
        <v>0</v>
      </c>
      <c r="C10" s="687">
        <f t="shared" ref="C10:AH10" si="4">IF(B10&lt;B21,0,B10-B21)</f>
        <v>0</v>
      </c>
      <c r="D10" s="687">
        <f t="shared" si="4"/>
        <v>0</v>
      </c>
      <c r="E10" s="687">
        <f t="shared" si="4"/>
        <v>0</v>
      </c>
      <c r="F10" s="687">
        <f t="shared" si="4"/>
        <v>0</v>
      </c>
      <c r="G10" s="687">
        <f t="shared" si="4"/>
        <v>0</v>
      </c>
      <c r="H10" s="687">
        <f t="shared" si="4"/>
        <v>0</v>
      </c>
      <c r="I10" s="687">
        <f t="shared" si="4"/>
        <v>0</v>
      </c>
      <c r="J10" s="687">
        <f t="shared" si="4"/>
        <v>0</v>
      </c>
      <c r="K10" s="687">
        <f t="shared" si="4"/>
        <v>0</v>
      </c>
      <c r="L10" s="687">
        <f t="shared" si="4"/>
        <v>0</v>
      </c>
      <c r="M10" s="687">
        <f t="shared" si="4"/>
        <v>0</v>
      </c>
      <c r="N10" s="687">
        <f t="shared" si="4"/>
        <v>0</v>
      </c>
      <c r="O10" s="687">
        <f t="shared" si="4"/>
        <v>0</v>
      </c>
      <c r="P10" s="687">
        <f t="shared" si="4"/>
        <v>0</v>
      </c>
      <c r="Q10" s="687">
        <f t="shared" si="4"/>
        <v>0</v>
      </c>
      <c r="R10" s="687">
        <f t="shared" si="4"/>
        <v>0</v>
      </c>
      <c r="S10" s="687">
        <f t="shared" si="4"/>
        <v>0</v>
      </c>
      <c r="T10" s="687">
        <f t="shared" si="4"/>
        <v>0</v>
      </c>
      <c r="U10" s="687">
        <f t="shared" si="4"/>
        <v>0</v>
      </c>
      <c r="V10" s="687">
        <f t="shared" si="4"/>
        <v>0</v>
      </c>
      <c r="W10" s="687">
        <f t="shared" si="4"/>
        <v>0</v>
      </c>
      <c r="X10" s="687">
        <f t="shared" si="4"/>
        <v>0</v>
      </c>
      <c r="Y10" s="687">
        <f t="shared" si="4"/>
        <v>0</v>
      </c>
      <c r="Z10" s="687">
        <f t="shared" si="4"/>
        <v>0</v>
      </c>
      <c r="AA10" s="687">
        <f t="shared" si="4"/>
        <v>0</v>
      </c>
      <c r="AB10" s="687">
        <f t="shared" si="4"/>
        <v>0</v>
      </c>
      <c r="AC10" s="687">
        <f t="shared" si="4"/>
        <v>0</v>
      </c>
      <c r="AD10" s="687">
        <f t="shared" si="4"/>
        <v>0</v>
      </c>
      <c r="AE10" s="687">
        <f t="shared" si="4"/>
        <v>0</v>
      </c>
      <c r="AF10" s="687">
        <f t="shared" si="4"/>
        <v>0</v>
      </c>
      <c r="AG10" s="687">
        <f t="shared" si="4"/>
        <v>0</v>
      </c>
      <c r="AH10" s="687">
        <f t="shared" si="4"/>
        <v>0</v>
      </c>
      <c r="AI10" s="687">
        <f t="shared" si="2"/>
        <v>0</v>
      </c>
      <c r="AL10" s="113"/>
      <c r="AN10" s="133"/>
      <c r="AP10" s="133"/>
      <c r="AR10" s="133"/>
    </row>
    <row r="11" spans="1:44" x14ac:dyDescent="0.2">
      <c r="A11" s="132" t="s">
        <v>25</v>
      </c>
      <c r="B11" s="686">
        <f>'Datu ievade'!B23-'Datu ievade'!B34</f>
        <v>2286</v>
      </c>
      <c r="C11" s="687">
        <f t="shared" ref="C11:AH11" si="5">IF(B11&lt;B22,0,B11-B22)</f>
        <v>286</v>
      </c>
      <c r="D11" s="687">
        <f t="shared" si="5"/>
        <v>0</v>
      </c>
      <c r="E11" s="687">
        <f t="shared" si="5"/>
        <v>0</v>
      </c>
      <c r="F11" s="687">
        <f t="shared" si="5"/>
        <v>0</v>
      </c>
      <c r="G11" s="687">
        <f t="shared" si="5"/>
        <v>0</v>
      </c>
      <c r="H11" s="687">
        <f t="shared" si="5"/>
        <v>0</v>
      </c>
      <c r="I11" s="687">
        <f t="shared" si="5"/>
        <v>0</v>
      </c>
      <c r="J11" s="687">
        <f t="shared" si="5"/>
        <v>0</v>
      </c>
      <c r="K11" s="687">
        <f t="shared" si="5"/>
        <v>0</v>
      </c>
      <c r="L11" s="687">
        <f t="shared" si="5"/>
        <v>0</v>
      </c>
      <c r="M11" s="687">
        <f t="shared" si="5"/>
        <v>0</v>
      </c>
      <c r="N11" s="687">
        <f t="shared" si="5"/>
        <v>0</v>
      </c>
      <c r="O11" s="687">
        <f t="shared" si="5"/>
        <v>0</v>
      </c>
      <c r="P11" s="687">
        <f t="shared" si="5"/>
        <v>0</v>
      </c>
      <c r="Q11" s="687">
        <f t="shared" si="5"/>
        <v>0</v>
      </c>
      <c r="R11" s="687">
        <f t="shared" si="5"/>
        <v>0</v>
      </c>
      <c r="S11" s="687">
        <f t="shared" si="5"/>
        <v>0</v>
      </c>
      <c r="T11" s="687">
        <f t="shared" si="5"/>
        <v>0</v>
      </c>
      <c r="U11" s="687">
        <f t="shared" si="5"/>
        <v>0</v>
      </c>
      <c r="V11" s="687">
        <f t="shared" si="5"/>
        <v>0</v>
      </c>
      <c r="W11" s="687">
        <f t="shared" si="5"/>
        <v>0</v>
      </c>
      <c r="X11" s="687">
        <f t="shared" si="5"/>
        <v>0</v>
      </c>
      <c r="Y11" s="687">
        <f t="shared" si="5"/>
        <v>0</v>
      </c>
      <c r="Z11" s="687">
        <f t="shared" si="5"/>
        <v>0</v>
      </c>
      <c r="AA11" s="687">
        <f t="shared" si="5"/>
        <v>0</v>
      </c>
      <c r="AB11" s="687">
        <f t="shared" si="5"/>
        <v>0</v>
      </c>
      <c r="AC11" s="687">
        <f t="shared" si="5"/>
        <v>0</v>
      </c>
      <c r="AD11" s="687">
        <f t="shared" si="5"/>
        <v>0</v>
      </c>
      <c r="AE11" s="687">
        <f t="shared" si="5"/>
        <v>0</v>
      </c>
      <c r="AF11" s="687">
        <f t="shared" si="5"/>
        <v>0</v>
      </c>
      <c r="AG11" s="687">
        <f t="shared" si="5"/>
        <v>0</v>
      </c>
      <c r="AH11" s="687">
        <f t="shared" si="5"/>
        <v>0</v>
      </c>
      <c r="AI11" s="687">
        <f t="shared" si="2"/>
        <v>0</v>
      </c>
      <c r="AL11" s="113"/>
      <c r="AN11" s="133"/>
      <c r="AP11" s="133"/>
      <c r="AR11" s="133"/>
    </row>
    <row r="12" spans="1:44" s="131" customFormat="1" ht="25.5" x14ac:dyDescent="0.2">
      <c r="A12" s="126" t="s">
        <v>252</v>
      </c>
      <c r="B12" s="688"/>
      <c r="C12" s="689"/>
      <c r="D12" s="689"/>
      <c r="E12" s="689"/>
      <c r="F12" s="690"/>
      <c r="G12" s="689"/>
      <c r="H12" s="689"/>
      <c r="I12" s="689"/>
      <c r="J12" s="689"/>
      <c r="K12" s="689"/>
      <c r="L12" s="689"/>
      <c r="M12" s="689"/>
      <c r="N12" s="689"/>
      <c r="O12" s="689"/>
      <c r="P12" s="689"/>
      <c r="Q12" s="689"/>
      <c r="R12" s="689"/>
      <c r="S12" s="689"/>
      <c r="T12" s="689"/>
      <c r="U12" s="689"/>
      <c r="V12" s="689"/>
      <c r="W12" s="689"/>
      <c r="X12" s="689"/>
      <c r="Y12" s="689"/>
      <c r="Z12" s="689"/>
      <c r="AA12" s="689"/>
      <c r="AB12" s="689"/>
      <c r="AC12" s="689"/>
      <c r="AD12" s="689"/>
      <c r="AE12" s="689"/>
      <c r="AF12" s="689"/>
      <c r="AG12" s="689"/>
      <c r="AH12" s="689"/>
      <c r="AI12" s="689"/>
      <c r="AL12" s="113"/>
      <c r="AN12" s="133"/>
      <c r="AO12" s="112"/>
      <c r="AP12" s="133"/>
      <c r="AQ12" s="112"/>
      <c r="AR12" s="133"/>
    </row>
    <row r="13" spans="1:44" x14ac:dyDescent="0.2">
      <c r="A13" s="120" t="s">
        <v>8</v>
      </c>
      <c r="B13" s="686">
        <f>'Datu ievade'!B25-'Datu ievade'!B36</f>
        <v>4264334.1600000029</v>
      </c>
      <c r="C13" s="687">
        <f t="shared" ref="C13:AH13" si="6">IF(B13&lt;B24,0,B13-B24)</f>
        <v>4254979.1600000029</v>
      </c>
      <c r="D13" s="687">
        <f t="shared" si="6"/>
        <v>4245624.1600000029</v>
      </c>
      <c r="E13" s="687">
        <f t="shared" si="6"/>
        <v>4236269.1600000029</v>
      </c>
      <c r="F13" s="687">
        <f t="shared" si="6"/>
        <v>4226914.1600000029</v>
      </c>
      <c r="G13" s="687">
        <f t="shared" si="6"/>
        <v>4217559.1600000029</v>
      </c>
      <c r="H13" s="687">
        <f t="shared" si="6"/>
        <v>4208204.1600000029</v>
      </c>
      <c r="I13" s="687">
        <f t="shared" si="6"/>
        <v>4198849.1600000029</v>
      </c>
      <c r="J13" s="687">
        <f t="shared" si="6"/>
        <v>4189494.1600000029</v>
      </c>
      <c r="K13" s="687">
        <f t="shared" si="6"/>
        <v>4180139.1600000029</v>
      </c>
      <c r="L13" s="687">
        <f t="shared" si="6"/>
        <v>4170784.1600000029</v>
      </c>
      <c r="M13" s="687">
        <f t="shared" si="6"/>
        <v>4161429.1600000029</v>
      </c>
      <c r="N13" s="687">
        <f t="shared" si="6"/>
        <v>4152074.1600000029</v>
      </c>
      <c r="O13" s="687">
        <f t="shared" si="6"/>
        <v>4142719.1600000029</v>
      </c>
      <c r="P13" s="687">
        <f t="shared" si="6"/>
        <v>4133364.1600000029</v>
      </c>
      <c r="Q13" s="687">
        <f t="shared" si="6"/>
        <v>4124009.1600000029</v>
      </c>
      <c r="R13" s="687">
        <f t="shared" si="6"/>
        <v>4114654.1600000029</v>
      </c>
      <c r="S13" s="687">
        <f t="shared" si="6"/>
        <v>4105299.1600000029</v>
      </c>
      <c r="T13" s="687">
        <f t="shared" si="6"/>
        <v>4095944.1600000029</v>
      </c>
      <c r="U13" s="687">
        <f t="shared" si="6"/>
        <v>4086589.1600000029</v>
      </c>
      <c r="V13" s="687">
        <f t="shared" si="6"/>
        <v>4077234.1600000029</v>
      </c>
      <c r="W13" s="687">
        <f t="shared" si="6"/>
        <v>4067879.1600000029</v>
      </c>
      <c r="X13" s="687">
        <f t="shared" si="6"/>
        <v>4058524.1600000029</v>
      </c>
      <c r="Y13" s="687">
        <f t="shared" si="6"/>
        <v>4049169.1600000029</v>
      </c>
      <c r="Z13" s="687">
        <f t="shared" si="6"/>
        <v>4039814.1600000029</v>
      </c>
      <c r="AA13" s="687">
        <f t="shared" si="6"/>
        <v>4030459.1600000029</v>
      </c>
      <c r="AB13" s="687">
        <f t="shared" si="6"/>
        <v>4021104.1600000029</v>
      </c>
      <c r="AC13" s="687">
        <f t="shared" si="6"/>
        <v>4011749.1600000029</v>
      </c>
      <c r="AD13" s="687">
        <f t="shared" si="6"/>
        <v>4002394.1600000029</v>
      </c>
      <c r="AE13" s="687">
        <f t="shared" si="6"/>
        <v>3993039.1600000029</v>
      </c>
      <c r="AF13" s="687">
        <f t="shared" si="6"/>
        <v>3983684.1600000029</v>
      </c>
      <c r="AG13" s="687">
        <f t="shared" si="6"/>
        <v>3974329.1600000029</v>
      </c>
      <c r="AH13" s="687">
        <f t="shared" si="6"/>
        <v>3964974.1600000029</v>
      </c>
      <c r="AI13" s="687">
        <f t="shared" ref="AI13:AI16" si="7">IF(AH13&lt;AH24,0,AH13-AH24)</f>
        <v>3955619.1600000029</v>
      </c>
      <c r="AL13" s="113"/>
      <c r="AN13" s="133"/>
      <c r="AP13" s="133"/>
      <c r="AR13" s="133"/>
    </row>
    <row r="14" spans="1:44" x14ac:dyDescent="0.2">
      <c r="A14" s="120" t="s">
        <v>9</v>
      </c>
      <c r="B14" s="686">
        <f>'Datu ievade'!B26-'Datu ievade'!B37</f>
        <v>91412.27</v>
      </c>
      <c r="C14" s="687">
        <f t="shared" ref="C14:AH14" si="8">IF(B14&lt;B25,0,B14-B25)</f>
        <v>91194.27</v>
      </c>
      <c r="D14" s="687">
        <f t="shared" si="8"/>
        <v>90976.27</v>
      </c>
      <c r="E14" s="687">
        <f t="shared" si="8"/>
        <v>90758.27</v>
      </c>
      <c r="F14" s="687">
        <f t="shared" si="8"/>
        <v>90540.27</v>
      </c>
      <c r="G14" s="687">
        <f t="shared" si="8"/>
        <v>90322.27</v>
      </c>
      <c r="H14" s="687">
        <f t="shared" si="8"/>
        <v>90104.27</v>
      </c>
      <c r="I14" s="687">
        <f t="shared" si="8"/>
        <v>89886.27</v>
      </c>
      <c r="J14" s="687">
        <f t="shared" si="8"/>
        <v>89668.27</v>
      </c>
      <c r="K14" s="687">
        <f t="shared" si="8"/>
        <v>89450.27</v>
      </c>
      <c r="L14" s="687">
        <f t="shared" si="8"/>
        <v>89232.27</v>
      </c>
      <c r="M14" s="687">
        <f t="shared" si="8"/>
        <v>89014.27</v>
      </c>
      <c r="N14" s="687">
        <f t="shared" si="8"/>
        <v>88796.27</v>
      </c>
      <c r="O14" s="687">
        <f t="shared" si="8"/>
        <v>88578.27</v>
      </c>
      <c r="P14" s="687">
        <f t="shared" si="8"/>
        <v>88360.27</v>
      </c>
      <c r="Q14" s="687">
        <f t="shared" si="8"/>
        <v>88142.27</v>
      </c>
      <c r="R14" s="687">
        <f t="shared" si="8"/>
        <v>87924.27</v>
      </c>
      <c r="S14" s="687">
        <f t="shared" si="8"/>
        <v>87706.27</v>
      </c>
      <c r="T14" s="687">
        <f t="shared" si="8"/>
        <v>87488.27</v>
      </c>
      <c r="U14" s="687">
        <f t="shared" si="8"/>
        <v>87270.27</v>
      </c>
      <c r="V14" s="687">
        <f t="shared" si="8"/>
        <v>87052.27</v>
      </c>
      <c r="W14" s="687">
        <f t="shared" si="8"/>
        <v>86834.27</v>
      </c>
      <c r="X14" s="687">
        <f t="shared" si="8"/>
        <v>86616.27</v>
      </c>
      <c r="Y14" s="687">
        <f t="shared" si="8"/>
        <v>86398.27</v>
      </c>
      <c r="Z14" s="687">
        <f t="shared" si="8"/>
        <v>86180.27</v>
      </c>
      <c r="AA14" s="687">
        <f t="shared" si="8"/>
        <v>85962.27</v>
      </c>
      <c r="AB14" s="687">
        <f t="shared" si="8"/>
        <v>85744.27</v>
      </c>
      <c r="AC14" s="687">
        <f t="shared" si="8"/>
        <v>85526.27</v>
      </c>
      <c r="AD14" s="687">
        <f t="shared" si="8"/>
        <v>85308.27</v>
      </c>
      <c r="AE14" s="687">
        <f t="shared" si="8"/>
        <v>85090.27</v>
      </c>
      <c r="AF14" s="687">
        <f t="shared" si="8"/>
        <v>84872.27</v>
      </c>
      <c r="AG14" s="687">
        <f t="shared" si="8"/>
        <v>84654.27</v>
      </c>
      <c r="AH14" s="687">
        <f t="shared" si="8"/>
        <v>84436.27</v>
      </c>
      <c r="AI14" s="687">
        <f t="shared" si="7"/>
        <v>84218.27</v>
      </c>
      <c r="AL14" s="113"/>
      <c r="AN14" s="133"/>
      <c r="AP14" s="133"/>
      <c r="AR14" s="133"/>
    </row>
    <row r="15" spans="1:44" x14ac:dyDescent="0.2">
      <c r="A15" s="120" t="s">
        <v>10</v>
      </c>
      <c r="B15" s="686">
        <f>'Datu ievade'!B27-'Datu ievade'!B38</f>
        <v>0</v>
      </c>
      <c r="C15" s="687">
        <f t="shared" ref="C15:AH15" si="9">IF(B15&lt;B26,0,B15-B26)</f>
        <v>0</v>
      </c>
      <c r="D15" s="687">
        <f t="shared" si="9"/>
        <v>0</v>
      </c>
      <c r="E15" s="687">
        <f t="shared" si="9"/>
        <v>0</v>
      </c>
      <c r="F15" s="687">
        <f t="shared" si="9"/>
        <v>0</v>
      </c>
      <c r="G15" s="687">
        <f t="shared" si="9"/>
        <v>0</v>
      </c>
      <c r="H15" s="687">
        <f t="shared" si="9"/>
        <v>0</v>
      </c>
      <c r="I15" s="687">
        <f t="shared" si="9"/>
        <v>0</v>
      </c>
      <c r="J15" s="687">
        <f t="shared" si="9"/>
        <v>0</v>
      </c>
      <c r="K15" s="687">
        <f t="shared" si="9"/>
        <v>0</v>
      </c>
      <c r="L15" s="687">
        <f t="shared" si="9"/>
        <v>0</v>
      </c>
      <c r="M15" s="687">
        <f t="shared" si="9"/>
        <v>0</v>
      </c>
      <c r="N15" s="687">
        <f t="shared" si="9"/>
        <v>0</v>
      </c>
      <c r="O15" s="687">
        <f t="shared" si="9"/>
        <v>0</v>
      </c>
      <c r="P15" s="687">
        <f t="shared" si="9"/>
        <v>0</v>
      </c>
      <c r="Q15" s="687">
        <f t="shared" si="9"/>
        <v>0</v>
      </c>
      <c r="R15" s="687">
        <f t="shared" si="9"/>
        <v>0</v>
      </c>
      <c r="S15" s="687">
        <f t="shared" si="9"/>
        <v>0</v>
      </c>
      <c r="T15" s="687">
        <f t="shared" si="9"/>
        <v>0</v>
      </c>
      <c r="U15" s="687">
        <f t="shared" si="9"/>
        <v>0</v>
      </c>
      <c r="V15" s="687">
        <f t="shared" si="9"/>
        <v>0</v>
      </c>
      <c r="W15" s="687">
        <f t="shared" si="9"/>
        <v>0</v>
      </c>
      <c r="X15" s="687">
        <f t="shared" si="9"/>
        <v>0</v>
      </c>
      <c r="Y15" s="687">
        <f t="shared" si="9"/>
        <v>0</v>
      </c>
      <c r="Z15" s="687">
        <f t="shared" si="9"/>
        <v>0</v>
      </c>
      <c r="AA15" s="687">
        <f t="shared" si="9"/>
        <v>0</v>
      </c>
      <c r="AB15" s="687">
        <f t="shared" si="9"/>
        <v>0</v>
      </c>
      <c r="AC15" s="687">
        <f t="shared" si="9"/>
        <v>0</v>
      </c>
      <c r="AD15" s="687">
        <f t="shared" si="9"/>
        <v>0</v>
      </c>
      <c r="AE15" s="687">
        <f t="shared" si="9"/>
        <v>0</v>
      </c>
      <c r="AF15" s="687">
        <f t="shared" si="9"/>
        <v>0</v>
      </c>
      <c r="AG15" s="687">
        <f t="shared" si="9"/>
        <v>0</v>
      </c>
      <c r="AH15" s="687">
        <f t="shared" si="9"/>
        <v>0</v>
      </c>
      <c r="AI15" s="687">
        <f t="shared" si="7"/>
        <v>0</v>
      </c>
      <c r="AL15" s="113"/>
      <c r="AN15" s="133"/>
      <c r="AP15" s="133"/>
      <c r="AR15" s="133"/>
    </row>
    <row r="16" spans="1:44" x14ac:dyDescent="0.2">
      <c r="A16" s="120" t="s">
        <v>25</v>
      </c>
      <c r="B16" s="686">
        <f>'Datu ievade'!B28-'Datu ievade'!B39</f>
        <v>245555.51</v>
      </c>
      <c r="C16" s="687">
        <f t="shared" ref="C16:AH16" si="10">IF(B16&lt;B27,0,B16-B27)</f>
        <v>242057.51</v>
      </c>
      <c r="D16" s="687">
        <f t="shared" si="10"/>
        <v>238559.51</v>
      </c>
      <c r="E16" s="687">
        <f t="shared" si="10"/>
        <v>235061.51</v>
      </c>
      <c r="F16" s="687">
        <f t="shared" si="10"/>
        <v>231563.51</v>
      </c>
      <c r="G16" s="687">
        <f t="shared" si="10"/>
        <v>228065.51</v>
      </c>
      <c r="H16" s="687">
        <f t="shared" si="10"/>
        <v>224567.51</v>
      </c>
      <c r="I16" s="687">
        <f t="shared" si="10"/>
        <v>221069.51</v>
      </c>
      <c r="J16" s="687">
        <f t="shared" si="10"/>
        <v>217571.51</v>
      </c>
      <c r="K16" s="687">
        <f t="shared" si="10"/>
        <v>214073.51</v>
      </c>
      <c r="L16" s="687">
        <f t="shared" si="10"/>
        <v>210575.51</v>
      </c>
      <c r="M16" s="687">
        <f t="shared" si="10"/>
        <v>207077.51</v>
      </c>
      <c r="N16" s="687">
        <f t="shared" si="10"/>
        <v>203579.51</v>
      </c>
      <c r="O16" s="687">
        <f t="shared" si="10"/>
        <v>200081.51</v>
      </c>
      <c r="P16" s="687">
        <f t="shared" si="10"/>
        <v>196583.51</v>
      </c>
      <c r="Q16" s="687">
        <f t="shared" si="10"/>
        <v>193085.51</v>
      </c>
      <c r="R16" s="687">
        <f t="shared" si="10"/>
        <v>189587.51</v>
      </c>
      <c r="S16" s="687">
        <f t="shared" si="10"/>
        <v>186089.51</v>
      </c>
      <c r="T16" s="687">
        <f t="shared" si="10"/>
        <v>182591.51</v>
      </c>
      <c r="U16" s="687">
        <f t="shared" si="10"/>
        <v>179093.51</v>
      </c>
      <c r="V16" s="687">
        <f t="shared" si="10"/>
        <v>175595.51</v>
      </c>
      <c r="W16" s="687">
        <f t="shared" si="10"/>
        <v>172097.51</v>
      </c>
      <c r="X16" s="687">
        <f t="shared" si="10"/>
        <v>168599.51</v>
      </c>
      <c r="Y16" s="687">
        <f t="shared" si="10"/>
        <v>165101.51</v>
      </c>
      <c r="Z16" s="687">
        <f t="shared" si="10"/>
        <v>161603.51</v>
      </c>
      <c r="AA16" s="687">
        <f t="shared" si="10"/>
        <v>158105.51</v>
      </c>
      <c r="AB16" s="687">
        <f t="shared" si="10"/>
        <v>154607.51</v>
      </c>
      <c r="AC16" s="687">
        <f t="shared" si="10"/>
        <v>151109.51</v>
      </c>
      <c r="AD16" s="687">
        <f t="shared" si="10"/>
        <v>147611.51</v>
      </c>
      <c r="AE16" s="687">
        <f t="shared" si="10"/>
        <v>144113.51</v>
      </c>
      <c r="AF16" s="687">
        <f t="shared" si="10"/>
        <v>140615.51</v>
      </c>
      <c r="AG16" s="687">
        <f t="shared" si="10"/>
        <v>137117.51</v>
      </c>
      <c r="AH16" s="687">
        <f t="shared" si="10"/>
        <v>133619.51</v>
      </c>
      <c r="AI16" s="687">
        <f t="shared" si="7"/>
        <v>130121.51000000001</v>
      </c>
      <c r="AL16" s="113"/>
      <c r="AN16" s="133"/>
      <c r="AP16" s="133"/>
      <c r="AR16" s="133"/>
    </row>
    <row r="17" spans="1:46" x14ac:dyDescent="0.2">
      <c r="A17" s="134" t="s">
        <v>26</v>
      </c>
      <c r="B17" s="691">
        <f t="shared" ref="B17:AH17" si="11">SUM(B8:B16)</f>
        <v>4894417.9400000023</v>
      </c>
      <c r="C17" s="691">
        <f t="shared" si="11"/>
        <v>4873636.9400000023</v>
      </c>
      <c r="D17" s="691">
        <f t="shared" si="11"/>
        <v>4854569.9400000023</v>
      </c>
      <c r="E17" s="691">
        <f t="shared" si="11"/>
        <v>4835788.9400000023</v>
      </c>
      <c r="F17" s="692">
        <f t="shared" si="11"/>
        <v>4817007.9400000023</v>
      </c>
      <c r="G17" s="691">
        <f t="shared" si="11"/>
        <v>4798226.9400000023</v>
      </c>
      <c r="H17" s="691">
        <f t="shared" si="11"/>
        <v>4779445.9400000023</v>
      </c>
      <c r="I17" s="691">
        <f t="shared" si="11"/>
        <v>4760664.9400000023</v>
      </c>
      <c r="J17" s="691">
        <f t="shared" si="11"/>
        <v>4741883.9400000023</v>
      </c>
      <c r="K17" s="691">
        <f t="shared" si="11"/>
        <v>4723102.9400000023</v>
      </c>
      <c r="L17" s="691">
        <f t="shared" si="11"/>
        <v>4704321.9400000023</v>
      </c>
      <c r="M17" s="691">
        <f t="shared" si="11"/>
        <v>4685540.9400000023</v>
      </c>
      <c r="N17" s="691">
        <f t="shared" si="11"/>
        <v>4666759.9400000023</v>
      </c>
      <c r="O17" s="691">
        <f t="shared" si="11"/>
        <v>4647978.9400000023</v>
      </c>
      <c r="P17" s="691">
        <f t="shared" si="11"/>
        <v>4629197.9400000023</v>
      </c>
      <c r="Q17" s="691">
        <f t="shared" si="11"/>
        <v>4610416.9400000023</v>
      </c>
      <c r="R17" s="691">
        <f t="shared" si="11"/>
        <v>4591635.9400000023</v>
      </c>
      <c r="S17" s="691">
        <f t="shared" si="11"/>
        <v>4572854.9400000023</v>
      </c>
      <c r="T17" s="691">
        <f t="shared" si="11"/>
        <v>4554073.9400000023</v>
      </c>
      <c r="U17" s="691">
        <f t="shared" si="11"/>
        <v>4535292.9400000023</v>
      </c>
      <c r="V17" s="691">
        <f t="shared" si="11"/>
        <v>4516511.9400000023</v>
      </c>
      <c r="W17" s="691">
        <f t="shared" si="11"/>
        <v>4497730.9400000023</v>
      </c>
      <c r="X17" s="691">
        <f t="shared" si="11"/>
        <v>4478949.9400000023</v>
      </c>
      <c r="Y17" s="691">
        <f t="shared" si="11"/>
        <v>4460168.9400000023</v>
      </c>
      <c r="Z17" s="691">
        <f t="shared" si="11"/>
        <v>4441387.9400000023</v>
      </c>
      <c r="AA17" s="691">
        <f t="shared" si="11"/>
        <v>4422606.9400000023</v>
      </c>
      <c r="AB17" s="691">
        <f t="shared" si="11"/>
        <v>4403825.9400000023</v>
      </c>
      <c r="AC17" s="691">
        <f t="shared" si="11"/>
        <v>4385044.9400000023</v>
      </c>
      <c r="AD17" s="691">
        <f t="shared" si="11"/>
        <v>4366263.9400000023</v>
      </c>
      <c r="AE17" s="691">
        <f t="shared" si="11"/>
        <v>4347482.9400000023</v>
      </c>
      <c r="AF17" s="691">
        <f t="shared" si="11"/>
        <v>4328701.9400000032</v>
      </c>
      <c r="AG17" s="691">
        <f t="shared" si="11"/>
        <v>4309920.9400000032</v>
      </c>
      <c r="AH17" s="691">
        <f t="shared" si="11"/>
        <v>4291139.9400000032</v>
      </c>
      <c r="AI17" s="691">
        <f>SUM(AI8:AI16)</f>
        <v>4272358.9400000032</v>
      </c>
      <c r="AL17" s="113"/>
      <c r="AN17" s="133"/>
      <c r="AP17" s="133"/>
      <c r="AR17" s="133"/>
    </row>
    <row r="18" spans="1:46" s="131" customFormat="1" ht="25.5" x14ac:dyDescent="0.2">
      <c r="A18" s="135" t="s">
        <v>27</v>
      </c>
      <c r="B18" s="693"/>
      <c r="C18" s="689"/>
      <c r="D18" s="689"/>
      <c r="E18" s="689"/>
      <c r="F18" s="690"/>
      <c r="G18" s="689"/>
      <c r="H18" s="689"/>
      <c r="I18" s="689"/>
      <c r="J18" s="689"/>
      <c r="K18" s="689"/>
      <c r="L18" s="689"/>
      <c r="M18" s="689"/>
      <c r="N18" s="689"/>
      <c r="O18" s="689"/>
      <c r="P18" s="689"/>
      <c r="Q18" s="689"/>
      <c r="R18" s="689"/>
      <c r="S18" s="689"/>
      <c r="T18" s="689"/>
      <c r="U18" s="689"/>
      <c r="V18" s="689"/>
      <c r="W18" s="689"/>
      <c r="X18" s="689"/>
      <c r="Y18" s="689"/>
      <c r="Z18" s="689"/>
      <c r="AA18" s="689"/>
      <c r="AB18" s="689"/>
      <c r="AC18" s="689"/>
      <c r="AD18" s="689"/>
      <c r="AE18" s="689"/>
      <c r="AF18" s="689"/>
      <c r="AG18" s="689"/>
      <c r="AH18" s="689"/>
      <c r="AI18" s="689"/>
      <c r="AL18" s="113"/>
      <c r="AN18" s="133"/>
      <c r="AO18" s="112"/>
      <c r="AP18" s="133"/>
      <c r="AQ18" s="112"/>
      <c r="AR18" s="133"/>
    </row>
    <row r="19" spans="1:46" x14ac:dyDescent="0.2">
      <c r="A19" s="132" t="s">
        <v>8</v>
      </c>
      <c r="B19" s="686">
        <f>'Datu ievade'!B31</f>
        <v>5610</v>
      </c>
      <c r="C19" s="687">
        <f t="shared" ref="C19:AH19" si="12">IF(B19&gt;B8,B8,B19)</f>
        <v>5610</v>
      </c>
      <c r="D19" s="687">
        <f t="shared" si="12"/>
        <v>5610</v>
      </c>
      <c r="E19" s="687">
        <f t="shared" si="12"/>
        <v>5610</v>
      </c>
      <c r="F19" s="687">
        <f t="shared" si="12"/>
        <v>5610</v>
      </c>
      <c r="G19" s="687">
        <f t="shared" si="12"/>
        <v>5610</v>
      </c>
      <c r="H19" s="687">
        <f t="shared" si="12"/>
        <v>5610</v>
      </c>
      <c r="I19" s="687">
        <f t="shared" si="12"/>
        <v>5610</v>
      </c>
      <c r="J19" s="687">
        <f t="shared" si="12"/>
        <v>5610</v>
      </c>
      <c r="K19" s="687">
        <f t="shared" si="12"/>
        <v>5610</v>
      </c>
      <c r="L19" s="687">
        <f t="shared" si="12"/>
        <v>5610</v>
      </c>
      <c r="M19" s="687">
        <f t="shared" si="12"/>
        <v>5610</v>
      </c>
      <c r="N19" s="687">
        <f t="shared" si="12"/>
        <v>5610</v>
      </c>
      <c r="O19" s="687">
        <f t="shared" si="12"/>
        <v>5610</v>
      </c>
      <c r="P19" s="687">
        <f t="shared" si="12"/>
        <v>5610</v>
      </c>
      <c r="Q19" s="687">
        <f t="shared" si="12"/>
        <v>5610</v>
      </c>
      <c r="R19" s="687">
        <f t="shared" si="12"/>
        <v>5610</v>
      </c>
      <c r="S19" s="687">
        <f t="shared" si="12"/>
        <v>5610</v>
      </c>
      <c r="T19" s="687">
        <f t="shared" si="12"/>
        <v>5610</v>
      </c>
      <c r="U19" s="687">
        <f t="shared" si="12"/>
        <v>5610</v>
      </c>
      <c r="V19" s="687">
        <f t="shared" si="12"/>
        <v>5610</v>
      </c>
      <c r="W19" s="687">
        <f t="shared" si="12"/>
        <v>5610</v>
      </c>
      <c r="X19" s="687">
        <f t="shared" si="12"/>
        <v>5610</v>
      </c>
      <c r="Y19" s="687">
        <f t="shared" si="12"/>
        <v>5610</v>
      </c>
      <c r="Z19" s="687">
        <f t="shared" si="12"/>
        <v>5610</v>
      </c>
      <c r="AA19" s="687">
        <f t="shared" si="12"/>
        <v>5610</v>
      </c>
      <c r="AB19" s="687">
        <f t="shared" si="12"/>
        <v>5610</v>
      </c>
      <c r="AC19" s="687">
        <f t="shared" si="12"/>
        <v>5610</v>
      </c>
      <c r="AD19" s="687">
        <f t="shared" si="12"/>
        <v>5610</v>
      </c>
      <c r="AE19" s="687">
        <f t="shared" si="12"/>
        <v>5610</v>
      </c>
      <c r="AF19" s="687">
        <f t="shared" si="12"/>
        <v>5610</v>
      </c>
      <c r="AG19" s="687">
        <f t="shared" si="12"/>
        <v>5610</v>
      </c>
      <c r="AH19" s="687">
        <f t="shared" si="12"/>
        <v>5610</v>
      </c>
      <c r="AI19" s="687">
        <f t="shared" ref="AI19:AI22" si="13">IF(AH19&gt;AH8,AH8,AH19)</f>
        <v>5610</v>
      </c>
      <c r="AL19" s="113"/>
      <c r="AN19" s="133"/>
      <c r="AP19" s="133"/>
      <c r="AR19" s="133"/>
    </row>
    <row r="20" spans="1:46" x14ac:dyDescent="0.2">
      <c r="A20" s="132" t="s">
        <v>9</v>
      </c>
      <c r="B20" s="686">
        <f>'Datu ievade'!B32</f>
        <v>100</v>
      </c>
      <c r="C20" s="687">
        <f t="shared" ref="C20:AH20" si="14">IF(B20&gt;B9,B9,B20)</f>
        <v>100</v>
      </c>
      <c r="D20" s="687">
        <f t="shared" si="14"/>
        <v>100</v>
      </c>
      <c r="E20" s="687">
        <f t="shared" si="14"/>
        <v>100</v>
      </c>
      <c r="F20" s="687">
        <f t="shared" si="14"/>
        <v>100</v>
      </c>
      <c r="G20" s="687">
        <f t="shared" si="14"/>
        <v>100</v>
      </c>
      <c r="H20" s="687">
        <f t="shared" si="14"/>
        <v>100</v>
      </c>
      <c r="I20" s="687">
        <f t="shared" si="14"/>
        <v>100</v>
      </c>
      <c r="J20" s="687">
        <f t="shared" si="14"/>
        <v>100</v>
      </c>
      <c r="K20" s="687">
        <f t="shared" si="14"/>
        <v>100</v>
      </c>
      <c r="L20" s="687">
        <f t="shared" si="14"/>
        <v>100</v>
      </c>
      <c r="M20" s="687">
        <f t="shared" si="14"/>
        <v>100</v>
      </c>
      <c r="N20" s="687">
        <f t="shared" si="14"/>
        <v>100</v>
      </c>
      <c r="O20" s="687">
        <f t="shared" si="14"/>
        <v>100</v>
      </c>
      <c r="P20" s="687">
        <f t="shared" si="14"/>
        <v>100</v>
      </c>
      <c r="Q20" s="687">
        <f t="shared" si="14"/>
        <v>100</v>
      </c>
      <c r="R20" s="687">
        <f t="shared" si="14"/>
        <v>100</v>
      </c>
      <c r="S20" s="687">
        <f t="shared" si="14"/>
        <v>100</v>
      </c>
      <c r="T20" s="687">
        <f t="shared" si="14"/>
        <v>100</v>
      </c>
      <c r="U20" s="687">
        <f t="shared" si="14"/>
        <v>100</v>
      </c>
      <c r="V20" s="687">
        <f t="shared" si="14"/>
        <v>100</v>
      </c>
      <c r="W20" s="687">
        <f t="shared" si="14"/>
        <v>100</v>
      </c>
      <c r="X20" s="687">
        <f t="shared" si="14"/>
        <v>100</v>
      </c>
      <c r="Y20" s="687">
        <f t="shared" si="14"/>
        <v>100</v>
      </c>
      <c r="Z20" s="687">
        <f t="shared" si="14"/>
        <v>100</v>
      </c>
      <c r="AA20" s="687">
        <f t="shared" si="14"/>
        <v>100</v>
      </c>
      <c r="AB20" s="687">
        <f t="shared" si="14"/>
        <v>100</v>
      </c>
      <c r="AC20" s="687">
        <f t="shared" si="14"/>
        <v>100</v>
      </c>
      <c r="AD20" s="687">
        <f t="shared" si="14"/>
        <v>100</v>
      </c>
      <c r="AE20" s="687">
        <f t="shared" si="14"/>
        <v>100</v>
      </c>
      <c r="AF20" s="687">
        <f t="shared" si="14"/>
        <v>100</v>
      </c>
      <c r="AG20" s="687">
        <f t="shared" si="14"/>
        <v>100</v>
      </c>
      <c r="AH20" s="687">
        <f t="shared" si="14"/>
        <v>100</v>
      </c>
      <c r="AI20" s="687">
        <f t="shared" si="13"/>
        <v>100</v>
      </c>
      <c r="AL20" s="113"/>
      <c r="AN20" s="133"/>
      <c r="AP20" s="133"/>
      <c r="AR20" s="133"/>
    </row>
    <row r="21" spans="1:46" x14ac:dyDescent="0.2">
      <c r="A21" s="132" t="s">
        <v>10</v>
      </c>
      <c r="B21" s="686">
        <f>'Datu ievade'!B33</f>
        <v>0</v>
      </c>
      <c r="C21" s="687">
        <f t="shared" ref="C21:AH21" si="15">IF(B21&gt;B10,B10,B21)</f>
        <v>0</v>
      </c>
      <c r="D21" s="687">
        <f t="shared" si="15"/>
        <v>0</v>
      </c>
      <c r="E21" s="687">
        <f t="shared" si="15"/>
        <v>0</v>
      </c>
      <c r="F21" s="687">
        <f t="shared" si="15"/>
        <v>0</v>
      </c>
      <c r="G21" s="687">
        <f t="shared" si="15"/>
        <v>0</v>
      </c>
      <c r="H21" s="687">
        <f t="shared" si="15"/>
        <v>0</v>
      </c>
      <c r="I21" s="687">
        <f t="shared" si="15"/>
        <v>0</v>
      </c>
      <c r="J21" s="687">
        <f t="shared" si="15"/>
        <v>0</v>
      </c>
      <c r="K21" s="687">
        <f t="shared" si="15"/>
        <v>0</v>
      </c>
      <c r="L21" s="687">
        <f t="shared" si="15"/>
        <v>0</v>
      </c>
      <c r="M21" s="687">
        <f t="shared" si="15"/>
        <v>0</v>
      </c>
      <c r="N21" s="687">
        <f t="shared" si="15"/>
        <v>0</v>
      </c>
      <c r="O21" s="687">
        <f t="shared" si="15"/>
        <v>0</v>
      </c>
      <c r="P21" s="687">
        <f t="shared" si="15"/>
        <v>0</v>
      </c>
      <c r="Q21" s="687">
        <f t="shared" si="15"/>
        <v>0</v>
      </c>
      <c r="R21" s="687">
        <f t="shared" si="15"/>
        <v>0</v>
      </c>
      <c r="S21" s="687">
        <f t="shared" si="15"/>
        <v>0</v>
      </c>
      <c r="T21" s="687">
        <f t="shared" si="15"/>
        <v>0</v>
      </c>
      <c r="U21" s="687">
        <f t="shared" si="15"/>
        <v>0</v>
      </c>
      <c r="V21" s="687">
        <f t="shared" si="15"/>
        <v>0</v>
      </c>
      <c r="W21" s="687">
        <f t="shared" si="15"/>
        <v>0</v>
      </c>
      <c r="X21" s="687">
        <f t="shared" si="15"/>
        <v>0</v>
      </c>
      <c r="Y21" s="687">
        <f t="shared" si="15"/>
        <v>0</v>
      </c>
      <c r="Z21" s="687">
        <f t="shared" si="15"/>
        <v>0</v>
      </c>
      <c r="AA21" s="687">
        <f t="shared" si="15"/>
        <v>0</v>
      </c>
      <c r="AB21" s="687">
        <f t="shared" si="15"/>
        <v>0</v>
      </c>
      <c r="AC21" s="687">
        <f t="shared" si="15"/>
        <v>0</v>
      </c>
      <c r="AD21" s="687">
        <f t="shared" si="15"/>
        <v>0</v>
      </c>
      <c r="AE21" s="687">
        <f t="shared" si="15"/>
        <v>0</v>
      </c>
      <c r="AF21" s="687">
        <f t="shared" si="15"/>
        <v>0</v>
      </c>
      <c r="AG21" s="687">
        <f t="shared" si="15"/>
        <v>0</v>
      </c>
      <c r="AH21" s="687">
        <f t="shared" si="15"/>
        <v>0</v>
      </c>
      <c r="AI21" s="687">
        <f t="shared" si="13"/>
        <v>0</v>
      </c>
      <c r="AL21" s="113"/>
      <c r="AN21" s="133"/>
      <c r="AP21" s="133"/>
      <c r="AR21" s="133"/>
    </row>
    <row r="22" spans="1:46" x14ac:dyDescent="0.2">
      <c r="A22" s="132" t="s">
        <v>25</v>
      </c>
      <c r="B22" s="686">
        <f>'Datu ievade'!B34</f>
        <v>2000</v>
      </c>
      <c r="C22" s="687">
        <f t="shared" ref="C22:AH22" si="16">IF(B22&gt;B11,B11,B22)</f>
        <v>2000</v>
      </c>
      <c r="D22" s="687">
        <f t="shared" si="16"/>
        <v>286</v>
      </c>
      <c r="E22" s="687">
        <f t="shared" si="16"/>
        <v>0</v>
      </c>
      <c r="F22" s="687">
        <f t="shared" si="16"/>
        <v>0</v>
      </c>
      <c r="G22" s="687">
        <f t="shared" si="16"/>
        <v>0</v>
      </c>
      <c r="H22" s="687">
        <f t="shared" si="16"/>
        <v>0</v>
      </c>
      <c r="I22" s="687">
        <f t="shared" si="16"/>
        <v>0</v>
      </c>
      <c r="J22" s="687">
        <f t="shared" si="16"/>
        <v>0</v>
      </c>
      <c r="K22" s="687">
        <f t="shared" si="16"/>
        <v>0</v>
      </c>
      <c r="L22" s="687">
        <f t="shared" si="16"/>
        <v>0</v>
      </c>
      <c r="M22" s="687">
        <f t="shared" si="16"/>
        <v>0</v>
      </c>
      <c r="N22" s="687">
        <f t="shared" si="16"/>
        <v>0</v>
      </c>
      <c r="O22" s="687">
        <f t="shared" si="16"/>
        <v>0</v>
      </c>
      <c r="P22" s="687">
        <f t="shared" si="16"/>
        <v>0</v>
      </c>
      <c r="Q22" s="687">
        <f t="shared" si="16"/>
        <v>0</v>
      </c>
      <c r="R22" s="687">
        <f t="shared" si="16"/>
        <v>0</v>
      </c>
      <c r="S22" s="687">
        <f t="shared" si="16"/>
        <v>0</v>
      </c>
      <c r="T22" s="687">
        <f t="shared" si="16"/>
        <v>0</v>
      </c>
      <c r="U22" s="687">
        <f t="shared" si="16"/>
        <v>0</v>
      </c>
      <c r="V22" s="687">
        <f t="shared" si="16"/>
        <v>0</v>
      </c>
      <c r="W22" s="687">
        <f t="shared" si="16"/>
        <v>0</v>
      </c>
      <c r="X22" s="687">
        <f t="shared" si="16"/>
        <v>0</v>
      </c>
      <c r="Y22" s="687">
        <f t="shared" si="16"/>
        <v>0</v>
      </c>
      <c r="Z22" s="687">
        <f t="shared" si="16"/>
        <v>0</v>
      </c>
      <c r="AA22" s="687">
        <f t="shared" si="16"/>
        <v>0</v>
      </c>
      <c r="AB22" s="687">
        <f t="shared" si="16"/>
        <v>0</v>
      </c>
      <c r="AC22" s="687">
        <f t="shared" si="16"/>
        <v>0</v>
      </c>
      <c r="AD22" s="687">
        <f t="shared" si="16"/>
        <v>0</v>
      </c>
      <c r="AE22" s="687">
        <f t="shared" si="16"/>
        <v>0</v>
      </c>
      <c r="AF22" s="687">
        <f t="shared" si="16"/>
        <v>0</v>
      </c>
      <c r="AG22" s="687">
        <f t="shared" si="16"/>
        <v>0</v>
      </c>
      <c r="AH22" s="687">
        <f t="shared" si="16"/>
        <v>0</v>
      </c>
      <c r="AI22" s="687">
        <f t="shared" si="13"/>
        <v>0</v>
      </c>
      <c r="AL22" s="113"/>
      <c r="AN22" s="133"/>
      <c r="AP22" s="133"/>
      <c r="AR22" s="133"/>
    </row>
    <row r="23" spans="1:46" s="131" customFormat="1" ht="25.5" x14ac:dyDescent="0.2">
      <c r="A23" s="135" t="s">
        <v>28</v>
      </c>
      <c r="B23" s="693"/>
      <c r="C23" s="689"/>
      <c r="D23" s="689"/>
      <c r="E23" s="689"/>
      <c r="F23" s="690"/>
      <c r="G23" s="689"/>
      <c r="H23" s="689"/>
      <c r="I23" s="689"/>
      <c r="J23" s="689"/>
      <c r="K23" s="689"/>
      <c r="L23" s="689"/>
      <c r="M23" s="689"/>
      <c r="N23" s="689"/>
      <c r="O23" s="689"/>
      <c r="P23" s="689"/>
      <c r="Q23" s="689"/>
      <c r="R23" s="689"/>
      <c r="S23" s="689"/>
      <c r="T23" s="689"/>
      <c r="U23" s="689"/>
      <c r="V23" s="689"/>
      <c r="W23" s="689"/>
      <c r="X23" s="689"/>
      <c r="Y23" s="689"/>
      <c r="Z23" s="689"/>
      <c r="AA23" s="689"/>
      <c r="AB23" s="689"/>
      <c r="AC23" s="689"/>
      <c r="AD23" s="689"/>
      <c r="AE23" s="689"/>
      <c r="AF23" s="689"/>
      <c r="AG23" s="689"/>
      <c r="AH23" s="689"/>
      <c r="AI23" s="689"/>
      <c r="AL23" s="113"/>
      <c r="AN23" s="133"/>
      <c r="AO23" s="112"/>
      <c r="AP23" s="133"/>
      <c r="AQ23" s="112"/>
      <c r="AR23" s="133"/>
    </row>
    <row r="24" spans="1:46" x14ac:dyDescent="0.2">
      <c r="A24" s="120" t="s">
        <v>8</v>
      </c>
      <c r="B24" s="686">
        <f>'Datu ievade'!B36</f>
        <v>9355</v>
      </c>
      <c r="C24" s="687">
        <f t="shared" ref="C24:AH24" si="17">IF(B24&gt;B13,B13,B24)</f>
        <v>9355</v>
      </c>
      <c r="D24" s="687">
        <f t="shared" si="17"/>
        <v>9355</v>
      </c>
      <c r="E24" s="687">
        <f t="shared" si="17"/>
        <v>9355</v>
      </c>
      <c r="F24" s="687">
        <f t="shared" si="17"/>
        <v>9355</v>
      </c>
      <c r="G24" s="687">
        <f t="shared" si="17"/>
        <v>9355</v>
      </c>
      <c r="H24" s="687">
        <f t="shared" si="17"/>
        <v>9355</v>
      </c>
      <c r="I24" s="687">
        <f t="shared" si="17"/>
        <v>9355</v>
      </c>
      <c r="J24" s="687">
        <f t="shared" si="17"/>
        <v>9355</v>
      </c>
      <c r="K24" s="687">
        <f t="shared" si="17"/>
        <v>9355</v>
      </c>
      <c r="L24" s="687">
        <f t="shared" si="17"/>
        <v>9355</v>
      </c>
      <c r="M24" s="687">
        <f t="shared" si="17"/>
        <v>9355</v>
      </c>
      <c r="N24" s="687">
        <f t="shared" si="17"/>
        <v>9355</v>
      </c>
      <c r="O24" s="687">
        <f t="shared" si="17"/>
        <v>9355</v>
      </c>
      <c r="P24" s="687">
        <f t="shared" si="17"/>
        <v>9355</v>
      </c>
      <c r="Q24" s="687">
        <f t="shared" si="17"/>
        <v>9355</v>
      </c>
      <c r="R24" s="687">
        <f t="shared" si="17"/>
        <v>9355</v>
      </c>
      <c r="S24" s="687">
        <f t="shared" si="17"/>
        <v>9355</v>
      </c>
      <c r="T24" s="687">
        <f t="shared" si="17"/>
        <v>9355</v>
      </c>
      <c r="U24" s="687">
        <f t="shared" si="17"/>
        <v>9355</v>
      </c>
      <c r="V24" s="687">
        <f t="shared" si="17"/>
        <v>9355</v>
      </c>
      <c r="W24" s="687">
        <f t="shared" si="17"/>
        <v>9355</v>
      </c>
      <c r="X24" s="687">
        <f t="shared" si="17"/>
        <v>9355</v>
      </c>
      <c r="Y24" s="687">
        <f t="shared" si="17"/>
        <v>9355</v>
      </c>
      <c r="Z24" s="687">
        <f t="shared" si="17"/>
        <v>9355</v>
      </c>
      <c r="AA24" s="687">
        <f t="shared" si="17"/>
        <v>9355</v>
      </c>
      <c r="AB24" s="687">
        <f t="shared" si="17"/>
        <v>9355</v>
      </c>
      <c r="AC24" s="687">
        <f t="shared" si="17"/>
        <v>9355</v>
      </c>
      <c r="AD24" s="687">
        <f t="shared" si="17"/>
        <v>9355</v>
      </c>
      <c r="AE24" s="687">
        <f t="shared" si="17"/>
        <v>9355</v>
      </c>
      <c r="AF24" s="687">
        <f t="shared" si="17"/>
        <v>9355</v>
      </c>
      <c r="AG24" s="687">
        <f t="shared" si="17"/>
        <v>9355</v>
      </c>
      <c r="AH24" s="687">
        <f t="shared" si="17"/>
        <v>9355</v>
      </c>
      <c r="AI24" s="687">
        <f t="shared" ref="AI24:AI27" si="18">IF(AH24&gt;AH13,AH13,AH24)</f>
        <v>9355</v>
      </c>
      <c r="AL24" s="113"/>
      <c r="AN24" s="133"/>
      <c r="AP24" s="133"/>
      <c r="AR24" s="133"/>
    </row>
    <row r="25" spans="1:46" x14ac:dyDescent="0.2">
      <c r="A25" s="120" t="s">
        <v>9</v>
      </c>
      <c r="B25" s="686">
        <f>'Datu ievade'!B37</f>
        <v>218</v>
      </c>
      <c r="C25" s="687">
        <f t="shared" ref="C25:AH25" si="19">IF(B25&gt;B14,B14,B25)</f>
        <v>218</v>
      </c>
      <c r="D25" s="687">
        <f t="shared" si="19"/>
        <v>218</v>
      </c>
      <c r="E25" s="687">
        <f t="shared" si="19"/>
        <v>218</v>
      </c>
      <c r="F25" s="687">
        <f t="shared" si="19"/>
        <v>218</v>
      </c>
      <c r="G25" s="687">
        <f t="shared" si="19"/>
        <v>218</v>
      </c>
      <c r="H25" s="687">
        <f t="shared" si="19"/>
        <v>218</v>
      </c>
      <c r="I25" s="687">
        <f t="shared" si="19"/>
        <v>218</v>
      </c>
      <c r="J25" s="687">
        <f t="shared" si="19"/>
        <v>218</v>
      </c>
      <c r="K25" s="687">
        <f t="shared" si="19"/>
        <v>218</v>
      </c>
      <c r="L25" s="687">
        <f t="shared" si="19"/>
        <v>218</v>
      </c>
      <c r="M25" s="687">
        <f t="shared" si="19"/>
        <v>218</v>
      </c>
      <c r="N25" s="687">
        <f t="shared" si="19"/>
        <v>218</v>
      </c>
      <c r="O25" s="687">
        <f t="shared" si="19"/>
        <v>218</v>
      </c>
      <c r="P25" s="687">
        <f t="shared" si="19"/>
        <v>218</v>
      </c>
      <c r="Q25" s="687">
        <f t="shared" si="19"/>
        <v>218</v>
      </c>
      <c r="R25" s="687">
        <f t="shared" si="19"/>
        <v>218</v>
      </c>
      <c r="S25" s="687">
        <f t="shared" si="19"/>
        <v>218</v>
      </c>
      <c r="T25" s="687">
        <f t="shared" si="19"/>
        <v>218</v>
      </c>
      <c r="U25" s="687">
        <f t="shared" si="19"/>
        <v>218</v>
      </c>
      <c r="V25" s="687">
        <f t="shared" si="19"/>
        <v>218</v>
      </c>
      <c r="W25" s="687">
        <f t="shared" si="19"/>
        <v>218</v>
      </c>
      <c r="X25" s="687">
        <f t="shared" si="19"/>
        <v>218</v>
      </c>
      <c r="Y25" s="687">
        <f t="shared" si="19"/>
        <v>218</v>
      </c>
      <c r="Z25" s="687">
        <f t="shared" si="19"/>
        <v>218</v>
      </c>
      <c r="AA25" s="687">
        <f t="shared" si="19"/>
        <v>218</v>
      </c>
      <c r="AB25" s="687">
        <f t="shared" si="19"/>
        <v>218</v>
      </c>
      <c r="AC25" s="687">
        <f t="shared" si="19"/>
        <v>218</v>
      </c>
      <c r="AD25" s="687">
        <f t="shared" si="19"/>
        <v>218</v>
      </c>
      <c r="AE25" s="687">
        <f t="shared" si="19"/>
        <v>218</v>
      </c>
      <c r="AF25" s="687">
        <f t="shared" si="19"/>
        <v>218</v>
      </c>
      <c r="AG25" s="687">
        <f t="shared" si="19"/>
        <v>218</v>
      </c>
      <c r="AH25" s="687">
        <f t="shared" si="19"/>
        <v>218</v>
      </c>
      <c r="AI25" s="687">
        <f t="shared" si="18"/>
        <v>218</v>
      </c>
      <c r="AL25" s="113"/>
      <c r="AN25" s="133"/>
      <c r="AP25" s="133"/>
      <c r="AR25" s="133"/>
    </row>
    <row r="26" spans="1:46" x14ac:dyDescent="0.2">
      <c r="A26" s="120" t="s">
        <v>10</v>
      </c>
      <c r="B26" s="686">
        <f>'Datu ievade'!B38</f>
        <v>0</v>
      </c>
      <c r="C26" s="687">
        <f t="shared" ref="C26:AH26" si="20">IF(B26&gt;B15,B15,B26)</f>
        <v>0</v>
      </c>
      <c r="D26" s="687">
        <f t="shared" si="20"/>
        <v>0</v>
      </c>
      <c r="E26" s="687">
        <f t="shared" si="20"/>
        <v>0</v>
      </c>
      <c r="F26" s="687">
        <f t="shared" si="20"/>
        <v>0</v>
      </c>
      <c r="G26" s="687">
        <f t="shared" si="20"/>
        <v>0</v>
      </c>
      <c r="H26" s="687">
        <f t="shared" si="20"/>
        <v>0</v>
      </c>
      <c r="I26" s="687">
        <f t="shared" si="20"/>
        <v>0</v>
      </c>
      <c r="J26" s="687">
        <f t="shared" si="20"/>
        <v>0</v>
      </c>
      <c r="K26" s="687">
        <f t="shared" si="20"/>
        <v>0</v>
      </c>
      <c r="L26" s="687">
        <f t="shared" si="20"/>
        <v>0</v>
      </c>
      <c r="M26" s="687">
        <f t="shared" si="20"/>
        <v>0</v>
      </c>
      <c r="N26" s="687">
        <f t="shared" si="20"/>
        <v>0</v>
      </c>
      <c r="O26" s="687">
        <f t="shared" si="20"/>
        <v>0</v>
      </c>
      <c r="P26" s="687">
        <f t="shared" si="20"/>
        <v>0</v>
      </c>
      <c r="Q26" s="687">
        <f t="shared" si="20"/>
        <v>0</v>
      </c>
      <c r="R26" s="687">
        <f t="shared" si="20"/>
        <v>0</v>
      </c>
      <c r="S26" s="687">
        <f t="shared" si="20"/>
        <v>0</v>
      </c>
      <c r="T26" s="687">
        <f t="shared" si="20"/>
        <v>0</v>
      </c>
      <c r="U26" s="687">
        <f t="shared" si="20"/>
        <v>0</v>
      </c>
      <c r="V26" s="687">
        <f t="shared" si="20"/>
        <v>0</v>
      </c>
      <c r="W26" s="687">
        <f t="shared" si="20"/>
        <v>0</v>
      </c>
      <c r="X26" s="687">
        <f t="shared" si="20"/>
        <v>0</v>
      </c>
      <c r="Y26" s="687">
        <f t="shared" si="20"/>
        <v>0</v>
      </c>
      <c r="Z26" s="687">
        <f t="shared" si="20"/>
        <v>0</v>
      </c>
      <c r="AA26" s="687">
        <f t="shared" si="20"/>
        <v>0</v>
      </c>
      <c r="AB26" s="687">
        <f t="shared" si="20"/>
        <v>0</v>
      </c>
      <c r="AC26" s="687">
        <f t="shared" si="20"/>
        <v>0</v>
      </c>
      <c r="AD26" s="687">
        <f t="shared" si="20"/>
        <v>0</v>
      </c>
      <c r="AE26" s="687">
        <f t="shared" si="20"/>
        <v>0</v>
      </c>
      <c r="AF26" s="687">
        <f t="shared" si="20"/>
        <v>0</v>
      </c>
      <c r="AG26" s="687">
        <f t="shared" si="20"/>
        <v>0</v>
      </c>
      <c r="AH26" s="687">
        <f t="shared" si="20"/>
        <v>0</v>
      </c>
      <c r="AI26" s="687">
        <f t="shared" si="18"/>
        <v>0</v>
      </c>
      <c r="AL26" s="113"/>
      <c r="AN26" s="133"/>
      <c r="AP26" s="133"/>
      <c r="AR26" s="133"/>
    </row>
    <row r="27" spans="1:46" x14ac:dyDescent="0.2">
      <c r="A27" s="120" t="s">
        <v>25</v>
      </c>
      <c r="B27" s="686">
        <f>'Datu ievade'!B39</f>
        <v>3498</v>
      </c>
      <c r="C27" s="687">
        <f t="shared" ref="C27:AH27" si="21">IF(B27&gt;B16,B16,B27)</f>
        <v>3498</v>
      </c>
      <c r="D27" s="687">
        <f t="shared" si="21"/>
        <v>3498</v>
      </c>
      <c r="E27" s="687">
        <f t="shared" si="21"/>
        <v>3498</v>
      </c>
      <c r="F27" s="687">
        <f t="shared" si="21"/>
        <v>3498</v>
      </c>
      <c r="G27" s="687">
        <f t="shared" si="21"/>
        <v>3498</v>
      </c>
      <c r="H27" s="687">
        <f t="shared" si="21"/>
        <v>3498</v>
      </c>
      <c r="I27" s="687">
        <f t="shared" si="21"/>
        <v>3498</v>
      </c>
      <c r="J27" s="687">
        <f t="shared" si="21"/>
        <v>3498</v>
      </c>
      <c r="K27" s="687">
        <f t="shared" si="21"/>
        <v>3498</v>
      </c>
      <c r="L27" s="687">
        <f t="shared" si="21"/>
        <v>3498</v>
      </c>
      <c r="M27" s="687">
        <f t="shared" si="21"/>
        <v>3498</v>
      </c>
      <c r="N27" s="687">
        <f t="shared" si="21"/>
        <v>3498</v>
      </c>
      <c r="O27" s="687">
        <f t="shared" si="21"/>
        <v>3498</v>
      </c>
      <c r="P27" s="687">
        <f t="shared" si="21"/>
        <v>3498</v>
      </c>
      <c r="Q27" s="687">
        <f t="shared" si="21"/>
        <v>3498</v>
      </c>
      <c r="R27" s="687">
        <f t="shared" si="21"/>
        <v>3498</v>
      </c>
      <c r="S27" s="687">
        <f t="shared" si="21"/>
        <v>3498</v>
      </c>
      <c r="T27" s="687">
        <f t="shared" si="21"/>
        <v>3498</v>
      </c>
      <c r="U27" s="687">
        <f t="shared" si="21"/>
        <v>3498</v>
      </c>
      <c r="V27" s="687">
        <f t="shared" si="21"/>
        <v>3498</v>
      </c>
      <c r="W27" s="687">
        <f t="shared" si="21"/>
        <v>3498</v>
      </c>
      <c r="X27" s="687">
        <f t="shared" si="21"/>
        <v>3498</v>
      </c>
      <c r="Y27" s="687">
        <f t="shared" si="21"/>
        <v>3498</v>
      </c>
      <c r="Z27" s="687">
        <f t="shared" si="21"/>
        <v>3498</v>
      </c>
      <c r="AA27" s="687">
        <f t="shared" si="21"/>
        <v>3498</v>
      </c>
      <c r="AB27" s="687">
        <f t="shared" si="21"/>
        <v>3498</v>
      </c>
      <c r="AC27" s="687">
        <f t="shared" si="21"/>
        <v>3498</v>
      </c>
      <c r="AD27" s="687">
        <f t="shared" si="21"/>
        <v>3498</v>
      </c>
      <c r="AE27" s="687">
        <f t="shared" si="21"/>
        <v>3498</v>
      </c>
      <c r="AF27" s="687">
        <f t="shared" si="21"/>
        <v>3498</v>
      </c>
      <c r="AG27" s="687">
        <f t="shared" si="21"/>
        <v>3498</v>
      </c>
      <c r="AH27" s="687">
        <f t="shared" si="21"/>
        <v>3498</v>
      </c>
      <c r="AI27" s="687">
        <f t="shared" si="18"/>
        <v>3498</v>
      </c>
      <c r="AL27" s="113"/>
      <c r="AN27" s="133"/>
      <c r="AP27" s="133"/>
      <c r="AR27" s="133"/>
    </row>
    <row r="28" spans="1:46" s="136" customFormat="1" x14ac:dyDescent="0.2">
      <c r="A28" s="17"/>
      <c r="B28" s="694"/>
      <c r="C28" s="694"/>
      <c r="D28" s="694"/>
      <c r="E28" s="694"/>
      <c r="F28" s="694"/>
      <c r="G28" s="694"/>
      <c r="H28" s="694"/>
      <c r="I28" s="694"/>
      <c r="J28" s="694"/>
      <c r="K28" s="694"/>
      <c r="L28" s="694"/>
      <c r="M28" s="694"/>
      <c r="N28" s="694"/>
      <c r="O28" s="694"/>
      <c r="P28" s="694"/>
      <c r="Q28" s="694"/>
      <c r="R28" s="694"/>
      <c r="S28" s="694"/>
      <c r="T28" s="694"/>
      <c r="U28" s="694"/>
      <c r="V28" s="694"/>
      <c r="W28" s="694"/>
      <c r="X28" s="694"/>
      <c r="Y28" s="694"/>
      <c r="Z28" s="694"/>
      <c r="AA28" s="694"/>
      <c r="AB28" s="694"/>
      <c r="AC28" s="694"/>
      <c r="AD28" s="694"/>
      <c r="AE28" s="694"/>
      <c r="AF28" s="694"/>
      <c r="AG28" s="694"/>
      <c r="AH28" s="694"/>
      <c r="AI28" s="694"/>
      <c r="AL28" s="113"/>
      <c r="AN28" s="133"/>
      <c r="AO28" s="112"/>
      <c r="AP28" s="133"/>
      <c r="AQ28" s="112"/>
      <c r="AR28" s="133"/>
    </row>
    <row r="29" spans="1:46" s="136" customFormat="1" x14ac:dyDescent="0.2">
      <c r="A29" s="17"/>
      <c r="B29" s="694"/>
      <c r="C29" s="694"/>
      <c r="D29" s="694"/>
      <c r="E29" s="694"/>
      <c r="F29" s="694"/>
      <c r="G29" s="694"/>
      <c r="H29" s="694"/>
      <c r="I29" s="694"/>
      <c r="J29" s="694"/>
      <c r="K29" s="694"/>
      <c r="L29" s="694"/>
      <c r="M29" s="694"/>
      <c r="N29" s="694"/>
      <c r="O29" s="694"/>
      <c r="P29" s="694"/>
      <c r="Q29" s="694"/>
      <c r="R29" s="694"/>
      <c r="S29" s="694"/>
      <c r="T29" s="694"/>
      <c r="U29" s="694"/>
      <c r="V29" s="694"/>
      <c r="W29" s="694"/>
      <c r="X29" s="694"/>
      <c r="Y29" s="694"/>
      <c r="Z29" s="694"/>
      <c r="AA29" s="694"/>
      <c r="AB29" s="694"/>
      <c r="AC29" s="694"/>
      <c r="AD29" s="694"/>
      <c r="AE29" s="694"/>
      <c r="AF29" s="694"/>
      <c r="AG29" s="694"/>
      <c r="AH29" s="694"/>
      <c r="AI29" s="694"/>
      <c r="AL29" s="113"/>
      <c r="AN29" s="133"/>
      <c r="AO29" s="112"/>
      <c r="AP29" s="133"/>
      <c r="AQ29" s="112"/>
      <c r="AR29" s="133"/>
    </row>
    <row r="30" spans="1:46" s="136" customFormat="1" x14ac:dyDescent="0.2">
      <c r="A30" s="17"/>
      <c r="B30" s="694"/>
      <c r="C30" s="694"/>
      <c r="D30" s="694"/>
      <c r="E30" s="694"/>
      <c r="F30" s="694"/>
      <c r="G30" s="694"/>
      <c r="H30" s="694"/>
      <c r="I30" s="694"/>
      <c r="J30" s="694"/>
      <c r="K30" s="694"/>
      <c r="L30" s="694"/>
      <c r="M30" s="694"/>
      <c r="N30" s="694"/>
      <c r="O30" s="694"/>
      <c r="P30" s="694"/>
      <c r="Q30" s="694"/>
      <c r="R30" s="694"/>
      <c r="S30" s="694"/>
      <c r="T30" s="694"/>
      <c r="U30" s="694"/>
      <c r="V30" s="694"/>
      <c r="W30" s="694"/>
      <c r="X30" s="694"/>
      <c r="Y30" s="694"/>
      <c r="Z30" s="694"/>
      <c r="AA30" s="694"/>
      <c r="AB30" s="694"/>
      <c r="AC30" s="694"/>
      <c r="AD30" s="694"/>
      <c r="AE30" s="694"/>
      <c r="AF30" s="694"/>
      <c r="AG30" s="694"/>
      <c r="AH30" s="694"/>
      <c r="AI30" s="694"/>
      <c r="AK30" s="137"/>
      <c r="AL30" s="138"/>
      <c r="AM30" s="137"/>
      <c r="AN30" s="138"/>
      <c r="AO30" s="137"/>
      <c r="AP30" s="138"/>
      <c r="AQ30" s="137"/>
      <c r="AR30" s="138"/>
      <c r="AS30" s="137"/>
      <c r="AT30" s="137"/>
    </row>
    <row r="31" spans="1:46" s="136" customFormat="1" ht="29.25" customHeight="1" x14ac:dyDescent="0.2">
      <c r="A31" s="40" t="s">
        <v>620</v>
      </c>
      <c r="B31" s="116"/>
      <c r="C31" s="116"/>
      <c r="D31" s="116"/>
      <c r="E31" s="116"/>
      <c r="F31" s="116"/>
      <c r="G31" s="116"/>
      <c r="H31" s="116"/>
      <c r="I31" s="116"/>
      <c r="J31" s="116"/>
      <c r="K31" s="116"/>
      <c r="L31" s="116"/>
      <c r="M31" s="116"/>
      <c r="N31" s="116"/>
      <c r="O31" s="116" t="s">
        <v>16</v>
      </c>
      <c r="P31" s="116"/>
      <c r="Q31" s="116"/>
      <c r="R31" s="116"/>
      <c r="S31" s="116"/>
      <c r="T31" s="116"/>
      <c r="U31" s="116"/>
      <c r="V31" s="116"/>
      <c r="W31" s="116"/>
      <c r="X31" s="116"/>
      <c r="Y31" s="116"/>
      <c r="Z31" s="116"/>
      <c r="AA31" s="116"/>
      <c r="AB31" s="116"/>
      <c r="AC31" s="116"/>
      <c r="AD31" s="116"/>
      <c r="AE31" s="116"/>
      <c r="AF31" s="116"/>
      <c r="AG31" s="116"/>
      <c r="AH31" s="116"/>
      <c r="AI31" s="116"/>
      <c r="AK31" s="137"/>
      <c r="AL31" s="138"/>
      <c r="AM31" s="137"/>
      <c r="AN31" s="138"/>
      <c r="AO31" s="137"/>
      <c r="AP31" s="138"/>
      <c r="AQ31" s="137"/>
      <c r="AR31" s="138"/>
      <c r="AS31" s="137"/>
      <c r="AT31" s="137"/>
    </row>
    <row r="32" spans="1:46" s="203" customFormat="1" x14ac:dyDescent="0.2">
      <c r="A32" s="783"/>
      <c r="B32" s="784">
        <f>'Datu ievade'!B98</f>
        <v>2019</v>
      </c>
      <c r="C32" s="784">
        <f t="shared" ref="C32" si="22">B32+1</f>
        <v>2020</v>
      </c>
      <c r="D32" s="784">
        <f t="shared" ref="D32" si="23">C32+1</f>
        <v>2021</v>
      </c>
      <c r="E32" s="784">
        <f t="shared" ref="E32" si="24">D32+1</f>
        <v>2022</v>
      </c>
      <c r="F32" s="784">
        <f t="shared" ref="F32" si="25">E32+1</f>
        <v>2023</v>
      </c>
      <c r="G32" s="784">
        <f t="shared" ref="G32" si="26">F32+1</f>
        <v>2024</v>
      </c>
      <c r="H32" s="784">
        <f t="shared" ref="H32" si="27">G32+1</f>
        <v>2025</v>
      </c>
      <c r="I32" s="784">
        <f t="shared" ref="I32" si="28">H32+1</f>
        <v>2026</v>
      </c>
      <c r="J32" s="784">
        <f t="shared" ref="J32" si="29">I32+1</f>
        <v>2027</v>
      </c>
      <c r="K32" s="784">
        <f t="shared" ref="K32" si="30">J32+1</f>
        <v>2028</v>
      </c>
      <c r="L32" s="784">
        <f t="shared" ref="L32" si="31">K32+1</f>
        <v>2029</v>
      </c>
      <c r="M32" s="784">
        <f t="shared" ref="M32" si="32">L32+1</f>
        <v>2030</v>
      </c>
      <c r="N32" s="784">
        <f t="shared" ref="N32" si="33">M32+1</f>
        <v>2031</v>
      </c>
      <c r="O32" s="784">
        <f t="shared" ref="O32" si="34">N32+1</f>
        <v>2032</v>
      </c>
      <c r="P32" s="784">
        <f t="shared" ref="P32" si="35">O32+1</f>
        <v>2033</v>
      </c>
      <c r="Q32" s="784">
        <f t="shared" ref="Q32" si="36">P32+1</f>
        <v>2034</v>
      </c>
      <c r="R32" s="784">
        <f t="shared" ref="R32" si="37">Q32+1</f>
        <v>2035</v>
      </c>
      <c r="S32" s="784">
        <f t="shared" ref="S32" si="38">R32+1</f>
        <v>2036</v>
      </c>
      <c r="T32" s="784">
        <f t="shared" ref="T32" si="39">S32+1</f>
        <v>2037</v>
      </c>
      <c r="U32" s="784">
        <f t="shared" ref="U32" si="40">T32+1</f>
        <v>2038</v>
      </c>
      <c r="V32" s="784">
        <f t="shared" ref="V32" si="41">U32+1</f>
        <v>2039</v>
      </c>
      <c r="W32" s="784">
        <f t="shared" ref="W32" si="42">V32+1</f>
        <v>2040</v>
      </c>
      <c r="X32" s="784">
        <f t="shared" ref="X32" si="43">W32+1</f>
        <v>2041</v>
      </c>
      <c r="Y32" s="784">
        <f t="shared" ref="Y32" si="44">X32+1</f>
        <v>2042</v>
      </c>
      <c r="Z32" s="784">
        <f t="shared" ref="Z32" si="45">Y32+1</f>
        <v>2043</v>
      </c>
      <c r="AA32" s="784">
        <f t="shared" ref="AA32" si="46">Z32+1</f>
        <v>2044</v>
      </c>
      <c r="AB32" s="784">
        <f t="shared" ref="AB32" si="47">AA32+1</f>
        <v>2045</v>
      </c>
      <c r="AC32" s="784">
        <f t="shared" ref="AC32" si="48">AB32+1</f>
        <v>2046</v>
      </c>
      <c r="AD32" s="784">
        <f t="shared" ref="AD32" si="49">AC32+1</f>
        <v>2047</v>
      </c>
      <c r="AE32" s="784">
        <f t="shared" ref="AE32" si="50">AD32+1</f>
        <v>2048</v>
      </c>
      <c r="AF32" s="784">
        <f t="shared" ref="AF32" si="51">AE32+1</f>
        <v>2049</v>
      </c>
      <c r="AG32" s="784">
        <f t="shared" ref="AG32" si="52">AF32+1</f>
        <v>2050</v>
      </c>
      <c r="AH32" s="784">
        <f>AG32+1</f>
        <v>2051</v>
      </c>
      <c r="AI32" s="784">
        <f>AH32+1</f>
        <v>2052</v>
      </c>
      <c r="AK32" s="188"/>
      <c r="AL32" s="785"/>
      <c r="AM32" s="188"/>
      <c r="AN32" s="785"/>
      <c r="AO32" s="188"/>
      <c r="AP32" s="785"/>
      <c r="AQ32" s="188"/>
      <c r="AR32" s="785"/>
      <c r="AS32" s="188"/>
      <c r="AT32" s="188"/>
    </row>
    <row r="33" spans="1:46" s="136" customFormat="1" x14ac:dyDescent="0.2">
      <c r="A33" s="142" t="s">
        <v>24</v>
      </c>
      <c r="B33" s="143"/>
      <c r="C33" s="143"/>
      <c r="D33" s="143"/>
      <c r="E33" s="143"/>
      <c r="F33" s="143"/>
      <c r="G33" s="143"/>
      <c r="H33" s="143"/>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K33" s="137"/>
      <c r="AL33" s="138"/>
      <c r="AM33" s="137"/>
      <c r="AN33" s="138"/>
      <c r="AO33" s="137"/>
      <c r="AP33" s="138"/>
      <c r="AQ33" s="137"/>
      <c r="AR33" s="138"/>
      <c r="AS33" s="137"/>
      <c r="AT33" s="137"/>
    </row>
    <row r="34" spans="1:46" s="136" customFormat="1" x14ac:dyDescent="0.2">
      <c r="A34" s="145" t="s">
        <v>103</v>
      </c>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K34" s="137"/>
      <c r="AL34" s="138"/>
      <c r="AM34" s="137"/>
      <c r="AN34" s="138"/>
      <c r="AO34" s="137"/>
      <c r="AP34" s="138"/>
      <c r="AQ34" s="137"/>
      <c r="AR34" s="138"/>
      <c r="AS34" s="137"/>
      <c r="AT34" s="137"/>
    </row>
    <row r="35" spans="1:46" s="136" customFormat="1" x14ac:dyDescent="0.2">
      <c r="A35" s="146" t="s">
        <v>8</v>
      </c>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K35" s="137"/>
      <c r="AL35" s="138"/>
      <c r="AM35" s="137"/>
      <c r="AN35" s="138"/>
      <c r="AO35" s="137"/>
      <c r="AP35" s="138"/>
      <c r="AQ35" s="137"/>
      <c r="AR35" s="138"/>
      <c r="AS35" s="137"/>
      <c r="AT35" s="137"/>
    </row>
    <row r="36" spans="1:46" s="136" customFormat="1" x14ac:dyDescent="0.2">
      <c r="A36" s="147" t="s">
        <v>104</v>
      </c>
      <c r="B36" s="695">
        <f>'gadu šķirošana'!C40</f>
        <v>0</v>
      </c>
      <c r="C36" s="696">
        <f>'gadu šķirošana'!D40+B36</f>
        <v>0</v>
      </c>
      <c r="D36" s="696">
        <f>'gadu šķirošana'!E40+C36</f>
        <v>0</v>
      </c>
      <c r="E36" s="696">
        <f>'gadu šķirošana'!F40+D36</f>
        <v>0</v>
      </c>
      <c r="F36" s="696">
        <f>'gadu šķirošana'!G40+E36</f>
        <v>0</v>
      </c>
      <c r="G36" s="696">
        <f>'gadu šķirošana'!H40+F36</f>
        <v>0</v>
      </c>
      <c r="H36" s="696">
        <f>'gadu šķirošana'!I40+G36</f>
        <v>0</v>
      </c>
      <c r="I36" s="696">
        <f>'gadu šķirošana'!J40+H36</f>
        <v>0</v>
      </c>
      <c r="J36" s="696">
        <f>'gadu šķirošana'!K40+I36</f>
        <v>0</v>
      </c>
      <c r="K36" s="696">
        <f>'gadu šķirošana'!L40+J36</f>
        <v>0</v>
      </c>
      <c r="L36" s="696">
        <f>'gadu šķirošana'!M40+K36</f>
        <v>0</v>
      </c>
      <c r="M36" s="696">
        <f>'gadu šķirošana'!N40+L36</f>
        <v>0</v>
      </c>
      <c r="N36" s="696">
        <f>'gadu šķirošana'!O40+M36</f>
        <v>0</v>
      </c>
      <c r="O36" s="696">
        <f>'gadu šķirošana'!P40+N36</f>
        <v>0</v>
      </c>
      <c r="P36" s="696">
        <f>'gadu šķirošana'!Q40+O36</f>
        <v>0</v>
      </c>
      <c r="Q36" s="696">
        <f>'gadu šķirošana'!R40+P36</f>
        <v>0</v>
      </c>
      <c r="R36" s="696">
        <f>'gadu šķirošana'!S40+Q36</f>
        <v>0</v>
      </c>
      <c r="S36" s="696">
        <f>'gadu šķirošana'!T40+R36</f>
        <v>0</v>
      </c>
      <c r="T36" s="696">
        <f>'gadu šķirošana'!U40+S36</f>
        <v>0</v>
      </c>
      <c r="U36" s="696">
        <f>'gadu šķirošana'!V40+T36</f>
        <v>0</v>
      </c>
      <c r="V36" s="696">
        <f>'gadu šķirošana'!W40+U36</f>
        <v>0</v>
      </c>
      <c r="W36" s="696">
        <f>'gadu šķirošana'!X40+V36</f>
        <v>0</v>
      </c>
      <c r="X36" s="696">
        <f>'gadu šķirošana'!Y40+W36</f>
        <v>0</v>
      </c>
      <c r="Y36" s="696">
        <f>'gadu šķirošana'!Z40+X36</f>
        <v>0</v>
      </c>
      <c r="Z36" s="696">
        <f>'gadu šķirošana'!AA40+Y36</f>
        <v>0</v>
      </c>
      <c r="AA36" s="696">
        <f>'gadu šķirošana'!AB40+Z36</f>
        <v>0</v>
      </c>
      <c r="AB36" s="696">
        <f>'gadu šķirošana'!AC40+AA36</f>
        <v>0</v>
      </c>
      <c r="AC36" s="696">
        <f>'gadu šķirošana'!AD40+AB36</f>
        <v>0</v>
      </c>
      <c r="AD36" s="696">
        <f>'gadu šķirošana'!AE40+AC36</f>
        <v>0</v>
      </c>
      <c r="AE36" s="696">
        <f>'gadu šķirošana'!AF40+AD36</f>
        <v>0</v>
      </c>
      <c r="AF36" s="696">
        <f>'gadu šķirošana'!AG40+AE36</f>
        <v>0</v>
      </c>
      <c r="AG36" s="696">
        <f>'gadu šķirošana'!AH40+AF36</f>
        <v>0</v>
      </c>
      <c r="AH36" s="696">
        <f>'gadu šķirošana'!AI40+AG36</f>
        <v>0</v>
      </c>
      <c r="AI36" s="696">
        <f>'gadu šķirošana'!AJ40+AH36</f>
        <v>0</v>
      </c>
      <c r="AK36" s="137"/>
      <c r="AL36" s="138"/>
      <c r="AM36" s="137"/>
      <c r="AN36" s="138"/>
      <c r="AO36" s="137"/>
      <c r="AP36" s="138"/>
      <c r="AQ36" s="137"/>
      <c r="AR36" s="138"/>
      <c r="AS36" s="137"/>
      <c r="AT36" s="137"/>
    </row>
    <row r="37" spans="1:46" s="136" customFormat="1" x14ac:dyDescent="0.2">
      <c r="A37" s="147" t="s">
        <v>105</v>
      </c>
      <c r="B37" s="35">
        <f>1/'Kopējie pieņēmumi'!$B$27</f>
        <v>0.02</v>
      </c>
      <c r="C37" s="14">
        <f>B37</f>
        <v>0.02</v>
      </c>
      <c r="D37" s="14">
        <f t="shared" ref="D37" si="53">C37</f>
        <v>0.02</v>
      </c>
      <c r="E37" s="14">
        <f t="shared" ref="E37" si="54">D37</f>
        <v>0.02</v>
      </c>
      <c r="F37" s="14">
        <f t="shared" ref="F37" si="55">E37</f>
        <v>0.02</v>
      </c>
      <c r="G37" s="14">
        <f t="shared" ref="G37" si="56">F37</f>
        <v>0.02</v>
      </c>
      <c r="H37" s="14">
        <f t="shared" ref="H37" si="57">G37</f>
        <v>0.02</v>
      </c>
      <c r="I37" s="14">
        <f t="shared" ref="I37" si="58">H37</f>
        <v>0.02</v>
      </c>
      <c r="J37" s="14">
        <f t="shared" ref="J37" si="59">I37</f>
        <v>0.02</v>
      </c>
      <c r="K37" s="14">
        <f t="shared" ref="K37" si="60">J37</f>
        <v>0.02</v>
      </c>
      <c r="L37" s="14">
        <f t="shared" ref="L37" si="61">K37</f>
        <v>0.02</v>
      </c>
      <c r="M37" s="14">
        <f t="shared" ref="M37" si="62">L37</f>
        <v>0.02</v>
      </c>
      <c r="N37" s="14">
        <f t="shared" ref="N37" si="63">M37</f>
        <v>0.02</v>
      </c>
      <c r="O37" s="14">
        <f t="shared" ref="O37" si="64">N37</f>
        <v>0.02</v>
      </c>
      <c r="P37" s="14">
        <f t="shared" ref="P37" si="65">O37</f>
        <v>0.02</v>
      </c>
      <c r="Q37" s="14">
        <f t="shared" ref="Q37" si="66">P37</f>
        <v>0.02</v>
      </c>
      <c r="R37" s="14">
        <f t="shared" ref="R37" si="67">Q37</f>
        <v>0.02</v>
      </c>
      <c r="S37" s="14">
        <f t="shared" ref="S37" si="68">R37</f>
        <v>0.02</v>
      </c>
      <c r="T37" s="14">
        <f t="shared" ref="T37" si="69">S37</f>
        <v>0.02</v>
      </c>
      <c r="U37" s="14">
        <f t="shared" ref="U37" si="70">T37</f>
        <v>0.02</v>
      </c>
      <c r="V37" s="14">
        <f t="shared" ref="V37" si="71">U37</f>
        <v>0.02</v>
      </c>
      <c r="W37" s="14">
        <f t="shared" ref="W37" si="72">V37</f>
        <v>0.02</v>
      </c>
      <c r="X37" s="14">
        <f t="shared" ref="X37" si="73">W37</f>
        <v>0.02</v>
      </c>
      <c r="Y37" s="14">
        <f t="shared" ref="Y37" si="74">X37</f>
        <v>0.02</v>
      </c>
      <c r="Z37" s="14">
        <f t="shared" ref="Z37" si="75">Y37</f>
        <v>0.02</v>
      </c>
      <c r="AA37" s="14">
        <f t="shared" ref="AA37" si="76">Z37</f>
        <v>0.02</v>
      </c>
      <c r="AB37" s="14">
        <f t="shared" ref="AB37" si="77">AA37</f>
        <v>0.02</v>
      </c>
      <c r="AC37" s="14">
        <f t="shared" ref="AC37" si="78">AB37</f>
        <v>0.02</v>
      </c>
      <c r="AD37" s="14">
        <f t="shared" ref="AD37" si="79">AC37</f>
        <v>0.02</v>
      </c>
      <c r="AE37" s="14">
        <f t="shared" ref="AE37" si="80">AD37</f>
        <v>0.02</v>
      </c>
      <c r="AF37" s="14">
        <f t="shared" ref="AF37" si="81">AE37</f>
        <v>0.02</v>
      </c>
      <c r="AG37" s="14">
        <f t="shared" ref="AG37" si="82">AF37</f>
        <v>0.02</v>
      </c>
      <c r="AH37" s="14">
        <f t="shared" ref="AH37" si="83">AG37</f>
        <v>0.02</v>
      </c>
      <c r="AI37" s="14">
        <f>AH37</f>
        <v>0.02</v>
      </c>
      <c r="AK37" s="137"/>
      <c r="AL37" s="138"/>
      <c r="AM37" s="137"/>
      <c r="AN37" s="138"/>
      <c r="AO37" s="137"/>
      <c r="AP37" s="138"/>
      <c r="AQ37" s="137"/>
      <c r="AR37" s="138"/>
      <c r="AS37" s="137"/>
      <c r="AT37" s="137"/>
    </row>
    <row r="38" spans="1:46" s="136" customFormat="1" x14ac:dyDescent="0.2">
      <c r="A38" s="147" t="s">
        <v>106</v>
      </c>
      <c r="B38" s="697">
        <v>0</v>
      </c>
      <c r="C38" s="694">
        <f t="shared" ref="C38" si="84">IF(B40&gt;0,IF(C36-B36&gt;0,0,C37*C36),0)</f>
        <v>0</v>
      </c>
      <c r="D38" s="694">
        <f t="shared" ref="D38" si="85">IF(C40&gt;0,IF(D36-C36&gt;0,0,D37*D36),0)</f>
        <v>0</v>
      </c>
      <c r="E38" s="694">
        <f t="shared" ref="E38" si="86">IF(D40&gt;0,IF(E36-D36&gt;0,0,E37*E36),0)</f>
        <v>0</v>
      </c>
      <c r="F38" s="694">
        <f t="shared" ref="F38" si="87">IF(E40&gt;0,IF(F36-E36&gt;0,0,F37*F36),0)</f>
        <v>0</v>
      </c>
      <c r="G38" s="694">
        <f t="shared" ref="G38" si="88">IF(F40&gt;0,IF(G36-F36&gt;0,0,G37*G36),0)</f>
        <v>0</v>
      </c>
      <c r="H38" s="694">
        <f t="shared" ref="H38" si="89">IF(G40&gt;0,IF(H36-G36&gt;0,0,H37*H36),0)</f>
        <v>0</v>
      </c>
      <c r="I38" s="694">
        <f t="shared" ref="I38" si="90">IF(H40&gt;0,IF(I36-H36&gt;0,0,I37*I36),0)</f>
        <v>0</v>
      </c>
      <c r="J38" s="694">
        <f t="shared" ref="J38" si="91">IF(I40&gt;0,IF(J36-I36&gt;0,0,J37*J36),0)</f>
        <v>0</v>
      </c>
      <c r="K38" s="694">
        <f t="shared" ref="K38" si="92">IF(J40&gt;0,IF(K36-J36&gt;0,0,K37*K36),0)</f>
        <v>0</v>
      </c>
      <c r="L38" s="694">
        <f t="shared" ref="L38" si="93">IF(K40&gt;0,IF(L36-K36&gt;0,0,L37*L36),0)</f>
        <v>0</v>
      </c>
      <c r="M38" s="694">
        <f t="shared" ref="M38" si="94">IF(L40&gt;0,IF(M36-L36&gt;0,0,M37*M36),0)</f>
        <v>0</v>
      </c>
      <c r="N38" s="694">
        <f t="shared" ref="N38" si="95">IF(M40&gt;0,IF(N36-M36&gt;0,0,N37*N36),0)</f>
        <v>0</v>
      </c>
      <c r="O38" s="694">
        <f t="shared" ref="O38" si="96">IF(N40&gt;0,IF(O36-N36&gt;0,0,O37*O36),0)</f>
        <v>0</v>
      </c>
      <c r="P38" s="694">
        <f t="shared" ref="P38" si="97">IF(O40&gt;0,IF(P36-O36&gt;0,0,P37*P36),0)</f>
        <v>0</v>
      </c>
      <c r="Q38" s="694">
        <f t="shared" ref="Q38" si="98">IF(P40&gt;0,IF(Q36-P36&gt;0,0,Q37*Q36),0)</f>
        <v>0</v>
      </c>
      <c r="R38" s="694">
        <f t="shared" ref="R38" si="99">IF(Q40&gt;0,IF(R36-Q36&gt;0,0,R37*R36),0)</f>
        <v>0</v>
      </c>
      <c r="S38" s="694">
        <f t="shared" ref="S38" si="100">IF(R40&gt;0,IF(S36-R36&gt;0,0,S37*S36),0)</f>
        <v>0</v>
      </c>
      <c r="T38" s="694">
        <f t="shared" ref="T38" si="101">IF(S40&gt;0,IF(T36-S36&gt;0,0,T37*T36),0)</f>
        <v>0</v>
      </c>
      <c r="U38" s="694">
        <f t="shared" ref="U38" si="102">IF(T40&gt;0,IF(U36-T36&gt;0,0,U37*U36),0)</f>
        <v>0</v>
      </c>
      <c r="V38" s="694">
        <f t="shared" ref="V38" si="103">IF(U40&gt;0,IF(V36-U36&gt;0,0,V37*V36),0)</f>
        <v>0</v>
      </c>
      <c r="W38" s="694">
        <f t="shared" ref="W38" si="104">IF(V40&gt;0,IF(W36-V36&gt;0,0,W37*W36),0)</f>
        <v>0</v>
      </c>
      <c r="X38" s="694">
        <f t="shared" ref="X38" si="105">IF(W40&gt;0,IF(X36-W36&gt;0,0,X37*X36),0)</f>
        <v>0</v>
      </c>
      <c r="Y38" s="694">
        <f t="shared" ref="Y38" si="106">IF(X40&gt;0,IF(Y36-X36&gt;0,0,Y37*Y36),0)</f>
        <v>0</v>
      </c>
      <c r="Z38" s="694">
        <f t="shared" ref="Z38" si="107">IF(Y40&gt;0,IF(Z36-Y36&gt;0,0,Z37*Z36),0)</f>
        <v>0</v>
      </c>
      <c r="AA38" s="694">
        <f t="shared" ref="AA38" si="108">IF(Z40&gt;0,IF(AA36-Z36&gt;0,0,AA37*AA36),0)</f>
        <v>0</v>
      </c>
      <c r="AB38" s="694">
        <f t="shared" ref="AB38" si="109">IF(AA40&gt;0,IF(AB36-AA36&gt;0,0,AB37*AB36),0)</f>
        <v>0</v>
      </c>
      <c r="AC38" s="694">
        <f t="shared" ref="AC38" si="110">IF(AB40&gt;0,IF(AC36-AB36&gt;0,0,AC37*AC36),0)</f>
        <v>0</v>
      </c>
      <c r="AD38" s="694">
        <f t="shared" ref="AD38" si="111">IF(AC40&gt;0,IF(AD36-AC36&gt;0,0,AD37*AD36),0)</f>
        <v>0</v>
      </c>
      <c r="AE38" s="694">
        <f t="shared" ref="AE38" si="112">IF(AD40&gt;0,IF(AE36-AD36&gt;0,0,AE37*AE36),0)</f>
        <v>0</v>
      </c>
      <c r="AF38" s="694">
        <f t="shared" ref="AF38" si="113">IF(AE40&gt;0,IF(AF36-AE36&gt;0,0,AF37*AF36),0)</f>
        <v>0</v>
      </c>
      <c r="AG38" s="694">
        <f t="shared" ref="AG38" si="114">IF(AF40&gt;0,IF(AG36-AF36&gt;0,0,AG37*AG36),0)</f>
        <v>0</v>
      </c>
      <c r="AH38" s="694">
        <f>IF(AG40&gt;0,IF(AH36-AG36&gt;0,0,AH37*AH36),0)</f>
        <v>0</v>
      </c>
      <c r="AI38" s="694">
        <f>IF(AH40&gt;0,IF(AI36-AH36&gt;0,0,AI37*AI36),0)</f>
        <v>0</v>
      </c>
      <c r="AK38" s="137"/>
      <c r="AL38" s="138"/>
      <c r="AM38" s="137"/>
      <c r="AN38" s="138"/>
      <c r="AO38" s="137"/>
      <c r="AP38" s="138"/>
      <c r="AQ38" s="137"/>
      <c r="AR38" s="138"/>
      <c r="AS38" s="137"/>
      <c r="AT38" s="137"/>
    </row>
    <row r="39" spans="1:46" s="136" customFormat="1" x14ac:dyDescent="0.2">
      <c r="A39" s="147" t="s">
        <v>107</v>
      </c>
      <c r="B39" s="695">
        <f>B38</f>
        <v>0</v>
      </c>
      <c r="C39" s="694">
        <f t="shared" ref="C39" si="115">C38+B39</f>
        <v>0</v>
      </c>
      <c r="D39" s="694">
        <f t="shared" ref="D39" si="116">D38+C39</f>
        <v>0</v>
      </c>
      <c r="E39" s="694">
        <f t="shared" ref="E39" si="117">E38+D39</f>
        <v>0</v>
      </c>
      <c r="F39" s="694">
        <f t="shared" ref="F39" si="118">F38+E39</f>
        <v>0</v>
      </c>
      <c r="G39" s="694">
        <f t="shared" ref="G39" si="119">G38+F39</f>
        <v>0</v>
      </c>
      <c r="H39" s="694">
        <f t="shared" ref="H39" si="120">H38+G39</f>
        <v>0</v>
      </c>
      <c r="I39" s="694">
        <f t="shared" ref="I39" si="121">I38+H39</f>
        <v>0</v>
      </c>
      <c r="J39" s="694">
        <f t="shared" ref="J39" si="122">J38+I39</f>
        <v>0</v>
      </c>
      <c r="K39" s="694">
        <f t="shared" ref="K39" si="123">K38+J39</f>
        <v>0</v>
      </c>
      <c r="L39" s="694">
        <f t="shared" ref="L39" si="124">L38+K39</f>
        <v>0</v>
      </c>
      <c r="M39" s="694">
        <f t="shared" ref="M39" si="125">M38+L39</f>
        <v>0</v>
      </c>
      <c r="N39" s="694">
        <f t="shared" ref="N39" si="126">N38+M39</f>
        <v>0</v>
      </c>
      <c r="O39" s="694">
        <f t="shared" ref="O39" si="127">O38+N39</f>
        <v>0</v>
      </c>
      <c r="P39" s="694">
        <f t="shared" ref="P39" si="128">P38+O39</f>
        <v>0</v>
      </c>
      <c r="Q39" s="694">
        <f t="shared" ref="Q39" si="129">Q38+P39</f>
        <v>0</v>
      </c>
      <c r="R39" s="694">
        <f t="shared" ref="R39" si="130">R38+Q39</f>
        <v>0</v>
      </c>
      <c r="S39" s="694">
        <f t="shared" ref="S39" si="131">S38+R39</f>
        <v>0</v>
      </c>
      <c r="T39" s="694">
        <f t="shared" ref="T39" si="132">T38+S39</f>
        <v>0</v>
      </c>
      <c r="U39" s="694">
        <f t="shared" ref="U39" si="133">U38+T39</f>
        <v>0</v>
      </c>
      <c r="V39" s="694">
        <f t="shared" ref="V39" si="134">V38+U39</f>
        <v>0</v>
      </c>
      <c r="W39" s="694">
        <f t="shared" ref="W39" si="135">W38+V39</f>
        <v>0</v>
      </c>
      <c r="X39" s="694">
        <f t="shared" ref="X39" si="136">X38+W39</f>
        <v>0</v>
      </c>
      <c r="Y39" s="694">
        <f t="shared" ref="Y39" si="137">Y38+X39</f>
        <v>0</v>
      </c>
      <c r="Z39" s="694">
        <f t="shared" ref="Z39" si="138">Z38+Y39</f>
        <v>0</v>
      </c>
      <c r="AA39" s="694">
        <f t="shared" ref="AA39" si="139">AA38+Z39</f>
        <v>0</v>
      </c>
      <c r="AB39" s="694">
        <f t="shared" ref="AB39" si="140">AB38+AA39</f>
        <v>0</v>
      </c>
      <c r="AC39" s="694">
        <f t="shared" ref="AC39" si="141">AC38+AB39</f>
        <v>0</v>
      </c>
      <c r="AD39" s="694">
        <f t="shared" ref="AD39" si="142">AD38+AC39</f>
        <v>0</v>
      </c>
      <c r="AE39" s="694">
        <f t="shared" ref="AE39" si="143">AE38+AD39</f>
        <v>0</v>
      </c>
      <c r="AF39" s="694">
        <f t="shared" ref="AF39" si="144">AF38+AE39</f>
        <v>0</v>
      </c>
      <c r="AG39" s="694">
        <f t="shared" ref="AG39" si="145">AG38+AF39</f>
        <v>0</v>
      </c>
      <c r="AH39" s="694">
        <f>AH38+AG39</f>
        <v>0</v>
      </c>
      <c r="AI39" s="694">
        <f>AI38+AH39</f>
        <v>0</v>
      </c>
      <c r="AK39" s="137"/>
      <c r="AL39" s="138"/>
      <c r="AM39" s="137"/>
      <c r="AN39" s="138"/>
      <c r="AO39" s="137"/>
      <c r="AP39" s="138"/>
      <c r="AQ39" s="137"/>
      <c r="AR39" s="138"/>
      <c r="AS39" s="137"/>
      <c r="AT39" s="137"/>
    </row>
    <row r="40" spans="1:46" s="136" customFormat="1" x14ac:dyDescent="0.2">
      <c r="A40" s="147" t="s">
        <v>108</v>
      </c>
      <c r="B40" s="695">
        <f t="shared" ref="B40:AG40" si="146">ROUND(IF(B36-B39&gt;0,B36-B39,0),0)</f>
        <v>0</v>
      </c>
      <c r="C40" s="694">
        <f t="shared" si="146"/>
        <v>0</v>
      </c>
      <c r="D40" s="694">
        <f t="shared" si="146"/>
        <v>0</v>
      </c>
      <c r="E40" s="694">
        <f t="shared" si="146"/>
        <v>0</v>
      </c>
      <c r="F40" s="694">
        <f t="shared" si="146"/>
        <v>0</v>
      </c>
      <c r="G40" s="694">
        <f t="shared" si="146"/>
        <v>0</v>
      </c>
      <c r="H40" s="694">
        <f t="shared" si="146"/>
        <v>0</v>
      </c>
      <c r="I40" s="694">
        <f t="shared" si="146"/>
        <v>0</v>
      </c>
      <c r="J40" s="694">
        <f t="shared" si="146"/>
        <v>0</v>
      </c>
      <c r="K40" s="694">
        <f t="shared" si="146"/>
        <v>0</v>
      </c>
      <c r="L40" s="694">
        <f t="shared" si="146"/>
        <v>0</v>
      </c>
      <c r="M40" s="694">
        <f t="shared" si="146"/>
        <v>0</v>
      </c>
      <c r="N40" s="694">
        <f t="shared" si="146"/>
        <v>0</v>
      </c>
      <c r="O40" s="694">
        <f t="shared" si="146"/>
        <v>0</v>
      </c>
      <c r="P40" s="694">
        <f t="shared" si="146"/>
        <v>0</v>
      </c>
      <c r="Q40" s="694">
        <f t="shared" si="146"/>
        <v>0</v>
      </c>
      <c r="R40" s="694">
        <f t="shared" si="146"/>
        <v>0</v>
      </c>
      <c r="S40" s="694">
        <f t="shared" si="146"/>
        <v>0</v>
      </c>
      <c r="T40" s="694">
        <f t="shared" si="146"/>
        <v>0</v>
      </c>
      <c r="U40" s="694">
        <f t="shared" si="146"/>
        <v>0</v>
      </c>
      <c r="V40" s="694">
        <f t="shared" si="146"/>
        <v>0</v>
      </c>
      <c r="W40" s="694">
        <f t="shared" si="146"/>
        <v>0</v>
      </c>
      <c r="X40" s="694">
        <f t="shared" si="146"/>
        <v>0</v>
      </c>
      <c r="Y40" s="694">
        <f t="shared" si="146"/>
        <v>0</v>
      </c>
      <c r="Z40" s="694">
        <f t="shared" si="146"/>
        <v>0</v>
      </c>
      <c r="AA40" s="694">
        <f t="shared" si="146"/>
        <v>0</v>
      </c>
      <c r="AB40" s="694">
        <f t="shared" si="146"/>
        <v>0</v>
      </c>
      <c r="AC40" s="694">
        <f t="shared" si="146"/>
        <v>0</v>
      </c>
      <c r="AD40" s="694">
        <f t="shared" si="146"/>
        <v>0</v>
      </c>
      <c r="AE40" s="694">
        <f t="shared" si="146"/>
        <v>0</v>
      </c>
      <c r="AF40" s="694">
        <f t="shared" si="146"/>
        <v>0</v>
      </c>
      <c r="AG40" s="694">
        <f t="shared" si="146"/>
        <v>0</v>
      </c>
      <c r="AH40" s="694">
        <f>ROUND(IF(AH36-AH39&gt;0,AH36-AH39,0),0)</f>
        <v>0</v>
      </c>
      <c r="AI40" s="694">
        <f>ROUND(IF(AI36-AI39&gt;0,AI36-AI39,0),0)</f>
        <v>0</v>
      </c>
      <c r="AK40" s="137"/>
      <c r="AL40" s="138"/>
      <c r="AM40" s="137"/>
      <c r="AN40" s="138"/>
      <c r="AO40" s="137"/>
      <c r="AP40" s="138"/>
      <c r="AQ40" s="137"/>
      <c r="AR40" s="138"/>
      <c r="AS40" s="137"/>
      <c r="AT40" s="137"/>
    </row>
    <row r="41" spans="1:46" s="136" customFormat="1" x14ac:dyDescent="0.2">
      <c r="A41" s="146" t="s">
        <v>9</v>
      </c>
      <c r="B41" s="698"/>
      <c r="C41" s="699"/>
      <c r="D41" s="699"/>
      <c r="E41" s="699"/>
      <c r="F41" s="699"/>
      <c r="G41" s="699"/>
      <c r="H41" s="699"/>
      <c r="I41" s="699"/>
      <c r="J41" s="699"/>
      <c r="K41" s="699"/>
      <c r="L41" s="699"/>
      <c r="M41" s="699"/>
      <c r="N41" s="699"/>
      <c r="O41" s="699"/>
      <c r="P41" s="699"/>
      <c r="Q41" s="699"/>
      <c r="R41" s="699"/>
      <c r="S41" s="699"/>
      <c r="T41" s="699"/>
      <c r="U41" s="699"/>
      <c r="V41" s="699"/>
      <c r="W41" s="699"/>
      <c r="X41" s="699"/>
      <c r="Y41" s="699"/>
      <c r="Z41" s="699"/>
      <c r="AA41" s="699"/>
      <c r="AB41" s="699"/>
      <c r="AC41" s="699"/>
      <c r="AD41" s="699"/>
      <c r="AE41" s="699"/>
      <c r="AF41" s="699"/>
      <c r="AG41" s="699"/>
      <c r="AH41" s="699"/>
      <c r="AI41" s="699"/>
      <c r="AK41" s="137"/>
      <c r="AL41" s="138"/>
      <c r="AM41" s="137"/>
      <c r="AN41" s="138"/>
      <c r="AO41" s="137"/>
      <c r="AP41" s="138"/>
      <c r="AQ41" s="137"/>
      <c r="AR41" s="138"/>
      <c r="AS41" s="137"/>
      <c r="AT41" s="137"/>
    </row>
    <row r="42" spans="1:46" s="136" customFormat="1" x14ac:dyDescent="0.2">
      <c r="A42" s="147" t="s">
        <v>104</v>
      </c>
      <c r="B42" s="695">
        <f>'gadu šķirošana'!C41</f>
        <v>0</v>
      </c>
      <c r="C42" s="695">
        <f>'gadu šķirošana'!D41+B42</f>
        <v>0</v>
      </c>
      <c r="D42" s="695">
        <f>'gadu šķirošana'!E41+C42</f>
        <v>0</v>
      </c>
      <c r="E42" s="695">
        <f>'gadu šķirošana'!F41+D42</f>
        <v>0</v>
      </c>
      <c r="F42" s="695">
        <f>'gadu šķirošana'!G41+E42</f>
        <v>0</v>
      </c>
      <c r="G42" s="695">
        <f>'gadu šķirošana'!H41+F42</f>
        <v>0</v>
      </c>
      <c r="H42" s="695">
        <f>'gadu šķirošana'!I41+G42</f>
        <v>0</v>
      </c>
      <c r="I42" s="695">
        <f>'gadu šķirošana'!J41+H42</f>
        <v>0</v>
      </c>
      <c r="J42" s="695">
        <f>'gadu šķirošana'!K41+I42</f>
        <v>0</v>
      </c>
      <c r="K42" s="695">
        <f>'gadu šķirošana'!L41+J42</f>
        <v>0</v>
      </c>
      <c r="L42" s="695">
        <f>'gadu šķirošana'!M41+K42</f>
        <v>0</v>
      </c>
      <c r="M42" s="695">
        <f>'gadu šķirošana'!N41+L42</f>
        <v>0</v>
      </c>
      <c r="N42" s="695">
        <f>'gadu šķirošana'!O41+M42</f>
        <v>0</v>
      </c>
      <c r="O42" s="695">
        <f>'gadu šķirošana'!P41+N42</f>
        <v>0</v>
      </c>
      <c r="P42" s="695">
        <f>'gadu šķirošana'!Q41+O42</f>
        <v>0</v>
      </c>
      <c r="Q42" s="695">
        <f>'gadu šķirošana'!R41+P42</f>
        <v>0</v>
      </c>
      <c r="R42" s="695">
        <f>'gadu šķirošana'!S41+Q42</f>
        <v>0</v>
      </c>
      <c r="S42" s="695">
        <f>'gadu šķirošana'!T41+R42</f>
        <v>0</v>
      </c>
      <c r="T42" s="695">
        <f>'gadu šķirošana'!U41+S42</f>
        <v>0</v>
      </c>
      <c r="U42" s="695">
        <f>'gadu šķirošana'!V41+T42</f>
        <v>0</v>
      </c>
      <c r="V42" s="695">
        <f>'gadu šķirošana'!W41+U42</f>
        <v>0</v>
      </c>
      <c r="W42" s="695">
        <f>'gadu šķirošana'!X41+V42</f>
        <v>0</v>
      </c>
      <c r="X42" s="695">
        <f>'gadu šķirošana'!Y41+W42</f>
        <v>0</v>
      </c>
      <c r="Y42" s="695">
        <f>'gadu šķirošana'!Z41+X42</f>
        <v>0</v>
      </c>
      <c r="Z42" s="695">
        <f>'gadu šķirošana'!AA41+Y42</f>
        <v>0</v>
      </c>
      <c r="AA42" s="695">
        <f>'gadu šķirošana'!AB41+Z42</f>
        <v>0</v>
      </c>
      <c r="AB42" s="695">
        <f>'gadu šķirošana'!AC41+AA42</f>
        <v>0</v>
      </c>
      <c r="AC42" s="695">
        <f>'gadu šķirošana'!AD41+AB42</f>
        <v>0</v>
      </c>
      <c r="AD42" s="695">
        <f>'gadu šķirošana'!AE41+AC42</f>
        <v>0</v>
      </c>
      <c r="AE42" s="695">
        <f>'gadu šķirošana'!AF41+AD42</f>
        <v>0</v>
      </c>
      <c r="AF42" s="695">
        <f>'gadu šķirošana'!AG41+AE42</f>
        <v>0</v>
      </c>
      <c r="AG42" s="695">
        <f>'gadu šķirošana'!AH41+AF42</f>
        <v>0</v>
      </c>
      <c r="AH42" s="695">
        <f>'gadu šķirošana'!AI41+AG42</f>
        <v>0</v>
      </c>
      <c r="AI42" s="695">
        <f>'gadu šķirošana'!AJ41+AH42</f>
        <v>0</v>
      </c>
      <c r="AK42" s="137"/>
      <c r="AL42" s="138"/>
      <c r="AM42" s="137"/>
      <c r="AN42" s="138"/>
      <c r="AO42" s="137"/>
      <c r="AP42" s="138"/>
      <c r="AQ42" s="137"/>
      <c r="AR42" s="138"/>
      <c r="AS42" s="137"/>
      <c r="AT42" s="137"/>
    </row>
    <row r="43" spans="1:46" s="136" customFormat="1" x14ac:dyDescent="0.2">
      <c r="A43" s="147" t="s">
        <v>105</v>
      </c>
      <c r="B43" s="35">
        <f>1/'Kopējie pieņēmumi'!$B$28</f>
        <v>0.1</v>
      </c>
      <c r="C43" s="14">
        <f>B43</f>
        <v>0.1</v>
      </c>
      <c r="D43" s="14">
        <f t="shared" ref="D43" si="147">C43</f>
        <v>0.1</v>
      </c>
      <c r="E43" s="14">
        <f t="shared" ref="E43" si="148">D43</f>
        <v>0.1</v>
      </c>
      <c r="F43" s="14">
        <f t="shared" ref="F43" si="149">E43</f>
        <v>0.1</v>
      </c>
      <c r="G43" s="14">
        <f t="shared" ref="G43" si="150">F43</f>
        <v>0.1</v>
      </c>
      <c r="H43" s="14">
        <f t="shared" ref="H43" si="151">G43</f>
        <v>0.1</v>
      </c>
      <c r="I43" s="14">
        <f t="shared" ref="I43" si="152">H43</f>
        <v>0.1</v>
      </c>
      <c r="J43" s="14">
        <f t="shared" ref="J43" si="153">I43</f>
        <v>0.1</v>
      </c>
      <c r="K43" s="14">
        <f t="shared" ref="K43" si="154">J43</f>
        <v>0.1</v>
      </c>
      <c r="L43" s="14">
        <f t="shared" ref="L43" si="155">K43</f>
        <v>0.1</v>
      </c>
      <c r="M43" s="14">
        <f t="shared" ref="M43" si="156">L43</f>
        <v>0.1</v>
      </c>
      <c r="N43" s="14">
        <f t="shared" ref="N43" si="157">M43</f>
        <v>0.1</v>
      </c>
      <c r="O43" s="14">
        <f t="shared" ref="O43" si="158">N43</f>
        <v>0.1</v>
      </c>
      <c r="P43" s="14">
        <f t="shared" ref="P43" si="159">O43</f>
        <v>0.1</v>
      </c>
      <c r="Q43" s="14">
        <f t="shared" ref="Q43" si="160">P43</f>
        <v>0.1</v>
      </c>
      <c r="R43" s="14">
        <f t="shared" ref="R43" si="161">Q43</f>
        <v>0.1</v>
      </c>
      <c r="S43" s="14">
        <f t="shared" ref="S43" si="162">R43</f>
        <v>0.1</v>
      </c>
      <c r="T43" s="14">
        <f t="shared" ref="T43" si="163">S43</f>
        <v>0.1</v>
      </c>
      <c r="U43" s="14">
        <f t="shared" ref="U43" si="164">T43</f>
        <v>0.1</v>
      </c>
      <c r="V43" s="14">
        <f t="shared" ref="V43" si="165">U43</f>
        <v>0.1</v>
      </c>
      <c r="W43" s="14">
        <f t="shared" ref="W43" si="166">V43</f>
        <v>0.1</v>
      </c>
      <c r="X43" s="14">
        <f t="shared" ref="X43" si="167">W43</f>
        <v>0.1</v>
      </c>
      <c r="Y43" s="14">
        <f t="shared" ref="Y43" si="168">X43</f>
        <v>0.1</v>
      </c>
      <c r="Z43" s="14">
        <f t="shared" ref="Z43" si="169">Y43</f>
        <v>0.1</v>
      </c>
      <c r="AA43" s="14">
        <f t="shared" ref="AA43" si="170">Z43</f>
        <v>0.1</v>
      </c>
      <c r="AB43" s="14">
        <f t="shared" ref="AB43" si="171">AA43</f>
        <v>0.1</v>
      </c>
      <c r="AC43" s="14">
        <f t="shared" ref="AC43" si="172">AB43</f>
        <v>0.1</v>
      </c>
      <c r="AD43" s="14">
        <f t="shared" ref="AD43" si="173">AC43</f>
        <v>0.1</v>
      </c>
      <c r="AE43" s="14">
        <f t="shared" ref="AE43" si="174">AD43</f>
        <v>0.1</v>
      </c>
      <c r="AF43" s="14">
        <f t="shared" ref="AF43" si="175">AE43</f>
        <v>0.1</v>
      </c>
      <c r="AG43" s="14">
        <f t="shared" ref="AG43" si="176">AF43</f>
        <v>0.1</v>
      </c>
      <c r="AH43" s="14">
        <f t="shared" ref="AH43" si="177">AG43</f>
        <v>0.1</v>
      </c>
      <c r="AI43" s="14">
        <f>AH43</f>
        <v>0.1</v>
      </c>
      <c r="AK43" s="137"/>
      <c r="AL43" s="138"/>
      <c r="AM43" s="137"/>
      <c r="AN43" s="138"/>
      <c r="AO43" s="137"/>
      <c r="AP43" s="138"/>
      <c r="AQ43" s="137"/>
      <c r="AR43" s="138"/>
      <c r="AS43" s="137"/>
      <c r="AT43" s="137"/>
    </row>
    <row r="44" spans="1:46" s="136" customFormat="1" x14ac:dyDescent="0.2">
      <c r="A44" s="147" t="s">
        <v>106</v>
      </c>
      <c r="B44" s="697">
        <v>0</v>
      </c>
      <c r="C44" s="694">
        <f t="shared" ref="C44" si="178">IF(B46&gt;0,IF(C42-B42&gt;0,0,C43*C42),0)</f>
        <v>0</v>
      </c>
      <c r="D44" s="694">
        <f t="shared" ref="D44" si="179">IF(C46&gt;0,IF(D42-C42&gt;0,0,D43*D42),0)</f>
        <v>0</v>
      </c>
      <c r="E44" s="694">
        <f t="shared" ref="E44" si="180">IF(D46&gt;0,IF(E42-D42&gt;0,0,E43*E42),0)</f>
        <v>0</v>
      </c>
      <c r="F44" s="694">
        <f t="shared" ref="F44" si="181">IF(E46&gt;0,IF(F42-E42&gt;0,0,F43*F42),0)</f>
        <v>0</v>
      </c>
      <c r="G44" s="694">
        <f t="shared" ref="G44" si="182">IF(F46&gt;0,IF(G42-F42&gt;0,0,G43*G42),0)</f>
        <v>0</v>
      </c>
      <c r="H44" s="694">
        <f t="shared" ref="H44" si="183">IF(G46&gt;0,IF(H42-G42&gt;0,0,H43*H42),0)</f>
        <v>0</v>
      </c>
      <c r="I44" s="694">
        <f t="shared" ref="I44" si="184">IF(H46&gt;0,IF(I42-H42&gt;0,0,I43*I42),0)</f>
        <v>0</v>
      </c>
      <c r="J44" s="694">
        <f t="shared" ref="J44" si="185">IF(I46&gt;0,IF(J42-I42&gt;0,0,J43*J42),0)</f>
        <v>0</v>
      </c>
      <c r="K44" s="694">
        <f t="shared" ref="K44" si="186">IF(J46&gt;0,IF(K42-J42&gt;0,0,K43*K42),0)</f>
        <v>0</v>
      </c>
      <c r="L44" s="694">
        <f t="shared" ref="L44" si="187">IF(K46&gt;0,IF(L42-K42&gt;0,0,L43*L42),0)</f>
        <v>0</v>
      </c>
      <c r="M44" s="694">
        <f t="shared" ref="M44" si="188">IF(L46&gt;0,IF(M42-L42&gt;0,0,M43*M42),0)</f>
        <v>0</v>
      </c>
      <c r="N44" s="694">
        <f t="shared" ref="N44" si="189">IF(M46&gt;0,IF(N42-M42&gt;0,0,N43*N42),0)</f>
        <v>0</v>
      </c>
      <c r="O44" s="694">
        <f t="shared" ref="O44" si="190">IF(N46&gt;0,IF(O42-N42&gt;0,0,O43*O42),0)</f>
        <v>0</v>
      </c>
      <c r="P44" s="694">
        <f t="shared" ref="P44" si="191">IF(O46&gt;0,IF(P42-O42&gt;0,0,P43*P42),0)</f>
        <v>0</v>
      </c>
      <c r="Q44" s="694">
        <f t="shared" ref="Q44" si="192">IF(P46&gt;0,IF(Q42-P42&gt;0,0,Q43*Q42),0)</f>
        <v>0</v>
      </c>
      <c r="R44" s="694">
        <f t="shared" ref="R44" si="193">IF(Q46&gt;0,IF(R42-Q42&gt;0,0,R43*R42),0)</f>
        <v>0</v>
      </c>
      <c r="S44" s="694">
        <f t="shared" ref="S44" si="194">IF(R46&gt;0,IF(S42-R42&gt;0,0,S43*S42),0)</f>
        <v>0</v>
      </c>
      <c r="T44" s="694">
        <f t="shared" ref="T44" si="195">IF(S46&gt;0,IF(T42-S42&gt;0,0,T43*T42),0)</f>
        <v>0</v>
      </c>
      <c r="U44" s="694">
        <f t="shared" ref="U44" si="196">IF(T46&gt;0,IF(U42-T42&gt;0,0,U43*U42),0)</f>
        <v>0</v>
      </c>
      <c r="V44" s="694">
        <f t="shared" ref="V44" si="197">IF(U46&gt;0,IF(V42-U42&gt;0,0,V43*V42),0)</f>
        <v>0</v>
      </c>
      <c r="W44" s="694">
        <f t="shared" ref="W44" si="198">IF(V46&gt;0,IF(W42-V42&gt;0,0,W43*W42),0)</f>
        <v>0</v>
      </c>
      <c r="X44" s="694">
        <f t="shared" ref="X44" si="199">IF(W46&gt;0,IF(X42-W42&gt;0,0,X43*X42),0)</f>
        <v>0</v>
      </c>
      <c r="Y44" s="694">
        <f t="shared" ref="Y44" si="200">IF(X46&gt;0,IF(Y42-X42&gt;0,0,Y43*Y42),0)</f>
        <v>0</v>
      </c>
      <c r="Z44" s="694">
        <f t="shared" ref="Z44" si="201">IF(Y46&gt;0,IF(Z42-Y42&gt;0,0,Z43*Z42),0)</f>
        <v>0</v>
      </c>
      <c r="AA44" s="694">
        <f t="shared" ref="AA44" si="202">IF(Z46&gt;0,IF(AA42-Z42&gt;0,0,AA43*AA42),0)</f>
        <v>0</v>
      </c>
      <c r="AB44" s="694">
        <f t="shared" ref="AB44" si="203">IF(AA46&gt;0,IF(AB42-AA42&gt;0,0,AB43*AB42),0)</f>
        <v>0</v>
      </c>
      <c r="AC44" s="694">
        <f t="shared" ref="AC44" si="204">IF(AB46&gt;0,IF(AC42-AB42&gt;0,0,AC43*AC42),0)</f>
        <v>0</v>
      </c>
      <c r="AD44" s="694">
        <f t="shared" ref="AD44" si="205">IF(AC46&gt;0,IF(AD42-AC42&gt;0,0,AD43*AD42),0)</f>
        <v>0</v>
      </c>
      <c r="AE44" s="694">
        <f t="shared" ref="AE44" si="206">IF(AD46&gt;0,IF(AE42-AD42&gt;0,0,AE43*AE42),0)</f>
        <v>0</v>
      </c>
      <c r="AF44" s="694">
        <f t="shared" ref="AF44" si="207">IF(AE46&gt;0,IF(AF42-AE42&gt;0,0,AF43*AF42),0)</f>
        <v>0</v>
      </c>
      <c r="AG44" s="694">
        <f t="shared" ref="AG44" si="208">IF(AF46&gt;0,IF(AG42-AF42&gt;0,0,AG43*AG42),0)</f>
        <v>0</v>
      </c>
      <c r="AH44" s="694">
        <f>IF(AG46&gt;0,IF(AH42-AG42&gt;0,0,AH43*AH42),0)</f>
        <v>0</v>
      </c>
      <c r="AI44" s="694">
        <f>IF(AH46&gt;0,IF(AI42-AH42&gt;0,0,AI43*AI42),0)</f>
        <v>0</v>
      </c>
      <c r="AK44" s="137"/>
      <c r="AL44" s="138"/>
      <c r="AM44" s="137"/>
      <c r="AN44" s="138"/>
      <c r="AO44" s="137"/>
      <c r="AP44" s="138"/>
      <c r="AQ44" s="137"/>
      <c r="AR44" s="138"/>
      <c r="AS44" s="137"/>
      <c r="AT44" s="137"/>
    </row>
    <row r="45" spans="1:46" s="136" customFormat="1" x14ac:dyDescent="0.2">
      <c r="A45" s="147" t="s">
        <v>107</v>
      </c>
      <c r="B45" s="695">
        <f>B44</f>
        <v>0</v>
      </c>
      <c r="C45" s="694">
        <f t="shared" ref="C45" si="209">C44+B45</f>
        <v>0</v>
      </c>
      <c r="D45" s="700">
        <f>D44+C45</f>
        <v>0</v>
      </c>
      <c r="E45" s="694">
        <f t="shared" ref="E45" si="210">E44+D45</f>
        <v>0</v>
      </c>
      <c r="F45" s="694">
        <f t="shared" ref="F45" si="211">F44+E45</f>
        <v>0</v>
      </c>
      <c r="G45" s="694">
        <f t="shared" ref="G45" si="212">G44+F45</f>
        <v>0</v>
      </c>
      <c r="H45" s="694">
        <f t="shared" ref="H45" si="213">H44+G45</f>
        <v>0</v>
      </c>
      <c r="I45" s="694">
        <f t="shared" ref="I45" si="214">I44+H45</f>
        <v>0</v>
      </c>
      <c r="J45" s="694">
        <f t="shared" ref="J45" si="215">J44+I45</f>
        <v>0</v>
      </c>
      <c r="K45" s="694">
        <f t="shared" ref="K45" si="216">K44+J45</f>
        <v>0</v>
      </c>
      <c r="L45" s="694">
        <f t="shared" ref="L45" si="217">L44+K45</f>
        <v>0</v>
      </c>
      <c r="M45" s="694">
        <f t="shared" ref="M45" si="218">M44+L45</f>
        <v>0</v>
      </c>
      <c r="N45" s="694">
        <f t="shared" ref="N45" si="219">N44+M45</f>
        <v>0</v>
      </c>
      <c r="O45" s="694">
        <f t="shared" ref="O45" si="220">O44+N45</f>
        <v>0</v>
      </c>
      <c r="P45" s="694">
        <f t="shared" ref="P45" si="221">P44+O45</f>
        <v>0</v>
      </c>
      <c r="Q45" s="694">
        <f>Q44+P45</f>
        <v>0</v>
      </c>
      <c r="R45" s="694">
        <f>R44+Q45</f>
        <v>0</v>
      </c>
      <c r="S45" s="694">
        <f t="shared" ref="S45" si="222">S44+R45</f>
        <v>0</v>
      </c>
      <c r="T45" s="694">
        <f t="shared" ref="T45" si="223">T44+S45</f>
        <v>0</v>
      </c>
      <c r="U45" s="694">
        <f t="shared" ref="U45" si="224">U44+T45</f>
        <v>0</v>
      </c>
      <c r="V45" s="694">
        <f t="shared" ref="V45" si="225">V44+U45</f>
        <v>0</v>
      </c>
      <c r="W45" s="694">
        <f t="shared" ref="W45" si="226">W44+V45</f>
        <v>0</v>
      </c>
      <c r="X45" s="694">
        <f t="shared" ref="X45" si="227">X44+W45</f>
        <v>0</v>
      </c>
      <c r="Y45" s="694">
        <f t="shared" ref="Y45" si="228">Y44+X45</f>
        <v>0</v>
      </c>
      <c r="Z45" s="694">
        <f t="shared" ref="Z45" si="229">Z44+Y45</f>
        <v>0</v>
      </c>
      <c r="AA45" s="694">
        <f t="shared" ref="AA45" si="230">AA44+Z45</f>
        <v>0</v>
      </c>
      <c r="AB45" s="694">
        <f t="shared" ref="AB45" si="231">AB44+AA45</f>
        <v>0</v>
      </c>
      <c r="AC45" s="694">
        <f t="shared" ref="AC45" si="232">AC44+AB45</f>
        <v>0</v>
      </c>
      <c r="AD45" s="694">
        <f t="shared" ref="AD45" si="233">AD44+AC45</f>
        <v>0</v>
      </c>
      <c r="AE45" s="694">
        <f t="shared" ref="AE45" si="234">AE44+AD45</f>
        <v>0</v>
      </c>
      <c r="AF45" s="694">
        <f t="shared" ref="AF45" si="235">AF44+AE45</f>
        <v>0</v>
      </c>
      <c r="AG45" s="694">
        <f t="shared" ref="AG45" si="236">AG44+AF45</f>
        <v>0</v>
      </c>
      <c r="AH45" s="694">
        <f>AH44+AG45</f>
        <v>0</v>
      </c>
      <c r="AI45" s="694">
        <f>AI44+AH45</f>
        <v>0</v>
      </c>
      <c r="AK45" s="137"/>
      <c r="AL45" s="138"/>
      <c r="AM45" s="137"/>
      <c r="AN45" s="138"/>
      <c r="AO45" s="137"/>
      <c r="AP45" s="138"/>
      <c r="AQ45" s="137"/>
      <c r="AR45" s="138"/>
      <c r="AS45" s="137"/>
      <c r="AT45" s="137"/>
    </row>
    <row r="46" spans="1:46" s="136" customFormat="1" x14ac:dyDescent="0.2">
      <c r="A46" s="147" t="s">
        <v>108</v>
      </c>
      <c r="B46" s="695">
        <f t="shared" ref="B46:AG46" si="237">ROUND(IF(B42-B45&gt;0,B42-B45,0),0)</f>
        <v>0</v>
      </c>
      <c r="C46" s="694">
        <f t="shared" si="237"/>
        <v>0</v>
      </c>
      <c r="D46" s="694">
        <f t="shared" si="237"/>
        <v>0</v>
      </c>
      <c r="E46" s="694">
        <f t="shared" si="237"/>
        <v>0</v>
      </c>
      <c r="F46" s="694">
        <f t="shared" si="237"/>
        <v>0</v>
      </c>
      <c r="G46" s="694">
        <f t="shared" si="237"/>
        <v>0</v>
      </c>
      <c r="H46" s="694">
        <f t="shared" si="237"/>
        <v>0</v>
      </c>
      <c r="I46" s="694">
        <f t="shared" si="237"/>
        <v>0</v>
      </c>
      <c r="J46" s="694">
        <f t="shared" si="237"/>
        <v>0</v>
      </c>
      <c r="K46" s="694">
        <f t="shared" si="237"/>
        <v>0</v>
      </c>
      <c r="L46" s="694">
        <f t="shared" si="237"/>
        <v>0</v>
      </c>
      <c r="M46" s="694">
        <f t="shared" si="237"/>
        <v>0</v>
      </c>
      <c r="N46" s="694">
        <f t="shared" si="237"/>
        <v>0</v>
      </c>
      <c r="O46" s="694">
        <f t="shared" si="237"/>
        <v>0</v>
      </c>
      <c r="P46" s="694">
        <f t="shared" si="237"/>
        <v>0</v>
      </c>
      <c r="Q46" s="694">
        <f t="shared" si="237"/>
        <v>0</v>
      </c>
      <c r="R46" s="694">
        <f t="shared" si="237"/>
        <v>0</v>
      </c>
      <c r="S46" s="694">
        <f t="shared" si="237"/>
        <v>0</v>
      </c>
      <c r="T46" s="694">
        <f t="shared" si="237"/>
        <v>0</v>
      </c>
      <c r="U46" s="694">
        <f t="shared" si="237"/>
        <v>0</v>
      </c>
      <c r="V46" s="694">
        <f t="shared" si="237"/>
        <v>0</v>
      </c>
      <c r="W46" s="694">
        <f t="shared" si="237"/>
        <v>0</v>
      </c>
      <c r="X46" s="694">
        <f t="shared" si="237"/>
        <v>0</v>
      </c>
      <c r="Y46" s="694">
        <f t="shared" si="237"/>
        <v>0</v>
      </c>
      <c r="Z46" s="694">
        <f t="shared" si="237"/>
        <v>0</v>
      </c>
      <c r="AA46" s="694">
        <f t="shared" si="237"/>
        <v>0</v>
      </c>
      <c r="AB46" s="694">
        <f t="shared" si="237"/>
        <v>0</v>
      </c>
      <c r="AC46" s="694">
        <f t="shared" si="237"/>
        <v>0</v>
      </c>
      <c r="AD46" s="694">
        <f t="shared" si="237"/>
        <v>0</v>
      </c>
      <c r="AE46" s="694">
        <f t="shared" si="237"/>
        <v>0</v>
      </c>
      <c r="AF46" s="694">
        <f t="shared" si="237"/>
        <v>0</v>
      </c>
      <c r="AG46" s="694">
        <f t="shared" si="237"/>
        <v>0</v>
      </c>
      <c r="AH46" s="694">
        <f>ROUND(IF(AH42-AH45&gt;0,AH42-AH45,0),0)</f>
        <v>0</v>
      </c>
      <c r="AI46" s="694">
        <f>ROUND(IF(AI42-AI45&gt;0,AI42-AI45,0),0)</f>
        <v>0</v>
      </c>
      <c r="AK46" s="137"/>
      <c r="AL46" s="138"/>
      <c r="AM46" s="137"/>
      <c r="AN46" s="138"/>
      <c r="AO46" s="137"/>
      <c r="AP46" s="138"/>
      <c r="AQ46" s="137"/>
      <c r="AR46" s="138"/>
      <c r="AS46" s="137"/>
      <c r="AT46" s="137"/>
    </row>
    <row r="47" spans="1:46" s="136" customFormat="1" x14ac:dyDescent="0.2">
      <c r="A47" s="146" t="s">
        <v>10</v>
      </c>
      <c r="B47" s="698"/>
      <c r="C47" s="699"/>
      <c r="D47" s="699"/>
      <c r="E47" s="699"/>
      <c r="F47" s="699"/>
      <c r="G47" s="699"/>
      <c r="H47" s="699"/>
      <c r="I47" s="699"/>
      <c r="J47" s="699"/>
      <c r="K47" s="699"/>
      <c r="L47" s="699"/>
      <c r="M47" s="699"/>
      <c r="N47" s="699"/>
      <c r="O47" s="699"/>
      <c r="P47" s="699"/>
      <c r="Q47" s="699"/>
      <c r="R47" s="699"/>
      <c r="S47" s="699"/>
      <c r="T47" s="699"/>
      <c r="U47" s="699"/>
      <c r="V47" s="699"/>
      <c r="W47" s="699"/>
      <c r="X47" s="699"/>
      <c r="Y47" s="699"/>
      <c r="Z47" s="699"/>
      <c r="AA47" s="699"/>
      <c r="AB47" s="699"/>
      <c r="AC47" s="699"/>
      <c r="AD47" s="699"/>
      <c r="AE47" s="699"/>
      <c r="AF47" s="699"/>
      <c r="AG47" s="699"/>
      <c r="AH47" s="699"/>
      <c r="AI47" s="699"/>
      <c r="AK47" s="137"/>
      <c r="AL47" s="138"/>
      <c r="AM47" s="137"/>
      <c r="AN47" s="138"/>
      <c r="AO47" s="137"/>
      <c r="AP47" s="138"/>
      <c r="AQ47" s="137"/>
      <c r="AR47" s="138"/>
      <c r="AS47" s="137"/>
      <c r="AT47" s="137"/>
    </row>
    <row r="48" spans="1:46" s="136" customFormat="1" x14ac:dyDescent="0.2">
      <c r="A48" s="147" t="s">
        <v>104</v>
      </c>
      <c r="B48" s="696">
        <f>'gadu šķirošana'!C42</f>
        <v>0</v>
      </c>
      <c r="C48" s="696">
        <f>'gadu šķirošana'!D42+B48</f>
        <v>0</v>
      </c>
      <c r="D48" s="696">
        <f>'gadu šķirošana'!E42+C48</f>
        <v>0</v>
      </c>
      <c r="E48" s="696">
        <f>'gadu šķirošana'!F42+D48</f>
        <v>0</v>
      </c>
      <c r="F48" s="696">
        <f>'gadu šķirošana'!G42+E48</f>
        <v>0</v>
      </c>
      <c r="G48" s="696">
        <f>'gadu šķirošana'!H42+F48</f>
        <v>0</v>
      </c>
      <c r="H48" s="696">
        <f>'gadu šķirošana'!I42+G48</f>
        <v>0</v>
      </c>
      <c r="I48" s="696">
        <f>'gadu šķirošana'!J42+H48</f>
        <v>0</v>
      </c>
      <c r="J48" s="696">
        <f>'gadu šķirošana'!K42+I48</f>
        <v>0</v>
      </c>
      <c r="K48" s="696">
        <f>'gadu šķirošana'!L42+J48</f>
        <v>0</v>
      </c>
      <c r="L48" s="696">
        <f>'gadu šķirošana'!M42+K48</f>
        <v>0</v>
      </c>
      <c r="M48" s="696">
        <f>'gadu šķirošana'!N42+L48</f>
        <v>0</v>
      </c>
      <c r="N48" s="696">
        <f>'gadu šķirošana'!O42+M48</f>
        <v>0</v>
      </c>
      <c r="O48" s="696">
        <f>'gadu šķirošana'!P42+N48</f>
        <v>0</v>
      </c>
      <c r="P48" s="696">
        <f>'gadu šķirošana'!Q42+O48</f>
        <v>0</v>
      </c>
      <c r="Q48" s="696">
        <f>'gadu šķirošana'!R42+P48</f>
        <v>0</v>
      </c>
      <c r="R48" s="696">
        <f>'gadu šķirošana'!S42+Q48</f>
        <v>0</v>
      </c>
      <c r="S48" s="696">
        <f>'gadu šķirošana'!T42+R48</f>
        <v>0</v>
      </c>
      <c r="T48" s="696">
        <f>'gadu šķirošana'!U42+S48</f>
        <v>0</v>
      </c>
      <c r="U48" s="696">
        <f>'gadu šķirošana'!V42+T48</f>
        <v>0</v>
      </c>
      <c r="V48" s="696">
        <f>'gadu šķirošana'!W42+U48</f>
        <v>0</v>
      </c>
      <c r="W48" s="696">
        <f>'gadu šķirošana'!X42+V48</f>
        <v>0</v>
      </c>
      <c r="X48" s="696">
        <f>'gadu šķirošana'!Y42+W48</f>
        <v>0</v>
      </c>
      <c r="Y48" s="696">
        <f>'gadu šķirošana'!Z42+X48</f>
        <v>0</v>
      </c>
      <c r="Z48" s="696">
        <f>'gadu šķirošana'!AA42+Y48</f>
        <v>0</v>
      </c>
      <c r="AA48" s="696">
        <f>'gadu šķirošana'!AB42+Z48</f>
        <v>0</v>
      </c>
      <c r="AB48" s="696">
        <f>'gadu šķirošana'!AC42+AA48</f>
        <v>0</v>
      </c>
      <c r="AC48" s="696">
        <f>'gadu šķirošana'!AD42+AB48</f>
        <v>0</v>
      </c>
      <c r="AD48" s="696">
        <f>'gadu šķirošana'!AE42+AC48</f>
        <v>0</v>
      </c>
      <c r="AE48" s="696">
        <f>'gadu šķirošana'!AF42+AD48</f>
        <v>0</v>
      </c>
      <c r="AF48" s="696">
        <f>'gadu šķirošana'!AG42+AE48</f>
        <v>0</v>
      </c>
      <c r="AG48" s="696">
        <f>'gadu šķirošana'!AH42+AF48</f>
        <v>0</v>
      </c>
      <c r="AH48" s="696">
        <f>'gadu šķirošana'!AI42+AG48</f>
        <v>0</v>
      </c>
      <c r="AI48" s="696">
        <f>'gadu šķirošana'!AJ42+AH48</f>
        <v>0</v>
      </c>
      <c r="AK48" s="137"/>
      <c r="AL48" s="138"/>
      <c r="AM48" s="137"/>
      <c r="AN48" s="138"/>
      <c r="AO48" s="137"/>
      <c r="AP48" s="138"/>
      <c r="AQ48" s="137"/>
      <c r="AR48" s="138"/>
      <c r="AS48" s="137"/>
      <c r="AT48" s="137"/>
    </row>
    <row r="49" spans="1:46" s="136" customFormat="1" x14ac:dyDescent="0.2">
      <c r="A49" s="147" t="s">
        <v>105</v>
      </c>
      <c r="B49" s="35">
        <f>1/'Kopējie pieņēmumi'!$B$29</f>
        <v>0.1</v>
      </c>
      <c r="C49" s="14">
        <f>B49</f>
        <v>0.1</v>
      </c>
      <c r="D49" s="14">
        <f t="shared" ref="D49" si="238">C49</f>
        <v>0.1</v>
      </c>
      <c r="E49" s="14">
        <f t="shared" ref="E49" si="239">D49</f>
        <v>0.1</v>
      </c>
      <c r="F49" s="14">
        <f t="shared" ref="F49" si="240">E49</f>
        <v>0.1</v>
      </c>
      <c r="G49" s="14">
        <f t="shared" ref="G49" si="241">F49</f>
        <v>0.1</v>
      </c>
      <c r="H49" s="14">
        <f t="shared" ref="H49" si="242">G49</f>
        <v>0.1</v>
      </c>
      <c r="I49" s="14">
        <f t="shared" ref="I49" si="243">H49</f>
        <v>0.1</v>
      </c>
      <c r="J49" s="14">
        <f t="shared" ref="J49" si="244">I49</f>
        <v>0.1</v>
      </c>
      <c r="K49" s="14">
        <f t="shared" ref="K49" si="245">J49</f>
        <v>0.1</v>
      </c>
      <c r="L49" s="14">
        <f t="shared" ref="L49" si="246">K49</f>
        <v>0.1</v>
      </c>
      <c r="M49" s="14">
        <f t="shared" ref="M49" si="247">L49</f>
        <v>0.1</v>
      </c>
      <c r="N49" s="14">
        <f t="shared" ref="N49" si="248">M49</f>
        <v>0.1</v>
      </c>
      <c r="O49" s="14">
        <f t="shared" ref="O49" si="249">N49</f>
        <v>0.1</v>
      </c>
      <c r="P49" s="14">
        <f t="shared" ref="P49" si="250">O49</f>
        <v>0.1</v>
      </c>
      <c r="Q49" s="14">
        <f t="shared" ref="Q49" si="251">P49</f>
        <v>0.1</v>
      </c>
      <c r="R49" s="14">
        <f t="shared" ref="R49" si="252">Q49</f>
        <v>0.1</v>
      </c>
      <c r="S49" s="14">
        <f t="shared" ref="S49" si="253">R49</f>
        <v>0.1</v>
      </c>
      <c r="T49" s="14">
        <f t="shared" ref="T49" si="254">S49</f>
        <v>0.1</v>
      </c>
      <c r="U49" s="14">
        <f t="shared" ref="U49" si="255">T49</f>
        <v>0.1</v>
      </c>
      <c r="V49" s="14">
        <f t="shared" ref="V49" si="256">U49</f>
        <v>0.1</v>
      </c>
      <c r="W49" s="14">
        <f t="shared" ref="W49" si="257">V49</f>
        <v>0.1</v>
      </c>
      <c r="X49" s="14">
        <f t="shared" ref="X49" si="258">W49</f>
        <v>0.1</v>
      </c>
      <c r="Y49" s="14">
        <f t="shared" ref="Y49" si="259">X49</f>
        <v>0.1</v>
      </c>
      <c r="Z49" s="14">
        <f t="shared" ref="Z49" si="260">Y49</f>
        <v>0.1</v>
      </c>
      <c r="AA49" s="14">
        <f t="shared" ref="AA49" si="261">Z49</f>
        <v>0.1</v>
      </c>
      <c r="AB49" s="14">
        <f t="shared" ref="AB49" si="262">AA49</f>
        <v>0.1</v>
      </c>
      <c r="AC49" s="14">
        <f t="shared" ref="AC49" si="263">AB49</f>
        <v>0.1</v>
      </c>
      <c r="AD49" s="14">
        <f t="shared" ref="AD49" si="264">AC49</f>
        <v>0.1</v>
      </c>
      <c r="AE49" s="14">
        <f t="shared" ref="AE49" si="265">AD49</f>
        <v>0.1</v>
      </c>
      <c r="AF49" s="14">
        <f t="shared" ref="AF49" si="266">AE49</f>
        <v>0.1</v>
      </c>
      <c r="AG49" s="14">
        <f t="shared" ref="AG49" si="267">AF49</f>
        <v>0.1</v>
      </c>
      <c r="AH49" s="14">
        <f t="shared" ref="AH49" si="268">AG49</f>
        <v>0.1</v>
      </c>
      <c r="AI49" s="14">
        <f>AH49</f>
        <v>0.1</v>
      </c>
      <c r="AK49" s="137"/>
      <c r="AL49" s="138"/>
      <c r="AM49" s="137"/>
      <c r="AN49" s="138"/>
      <c r="AO49" s="137"/>
      <c r="AP49" s="138"/>
      <c r="AQ49" s="137"/>
      <c r="AR49" s="138"/>
      <c r="AS49" s="137"/>
      <c r="AT49" s="137"/>
    </row>
    <row r="50" spans="1:46" s="136" customFormat="1" x14ac:dyDescent="0.2">
      <c r="A50" s="147" t="s">
        <v>106</v>
      </c>
      <c r="B50" s="697">
        <v>0</v>
      </c>
      <c r="C50" s="694">
        <f t="shared" ref="C50" si="269">IF(B52&gt;0,IF(C48-B48&gt;0,0,C49*C48),0)</f>
        <v>0</v>
      </c>
      <c r="D50" s="694">
        <f t="shared" ref="D50" si="270">IF(C52&gt;0,IF(D48-C48&gt;0,0,D49*D48),0)</f>
        <v>0</v>
      </c>
      <c r="E50" s="694">
        <f t="shared" ref="E50" si="271">IF(D52&gt;0,IF(E48-D48&gt;0,0,E49*E48),0)</f>
        <v>0</v>
      </c>
      <c r="F50" s="694">
        <f t="shared" ref="F50" si="272">IF(E52&gt;0,IF(F48-E48&gt;0,0,F49*F48),0)</f>
        <v>0</v>
      </c>
      <c r="G50" s="694">
        <f t="shared" ref="G50" si="273">IF(F52&gt;0,IF(G48-F48&gt;0,0,G49*G48),0)</f>
        <v>0</v>
      </c>
      <c r="H50" s="694">
        <f t="shared" ref="H50" si="274">IF(G52&gt;0,IF(H48-G48&gt;0,0,H49*H48),0)</f>
        <v>0</v>
      </c>
      <c r="I50" s="694">
        <f t="shared" ref="I50" si="275">IF(H52&gt;0,IF(I48-H48&gt;0,0,I49*I48),0)</f>
        <v>0</v>
      </c>
      <c r="J50" s="694">
        <f t="shared" ref="J50" si="276">IF(I52&gt;0,IF(J48-I48&gt;0,0,J49*J48),0)</f>
        <v>0</v>
      </c>
      <c r="K50" s="694">
        <f t="shared" ref="K50" si="277">IF(J52&gt;0,IF(K48-J48&gt;0,0,K49*K48),0)</f>
        <v>0</v>
      </c>
      <c r="L50" s="694">
        <f t="shared" ref="L50" si="278">IF(K52&gt;0,IF(L48-K48&gt;0,0,L49*L48),0)</f>
        <v>0</v>
      </c>
      <c r="M50" s="694">
        <f t="shared" ref="M50" si="279">IF(L52&gt;0,IF(M48-L48&gt;0,0,M49*M48),0)</f>
        <v>0</v>
      </c>
      <c r="N50" s="694">
        <f t="shared" ref="N50" si="280">IF(M52&gt;0,IF(N48-M48&gt;0,0,N49*N48),0)</f>
        <v>0</v>
      </c>
      <c r="O50" s="694">
        <f t="shared" ref="O50" si="281">IF(N52&gt;0,IF(O48-N48&gt;0,0,O49*O48),0)</f>
        <v>0</v>
      </c>
      <c r="P50" s="694">
        <f t="shared" ref="P50" si="282">IF(O52&gt;0,IF(P48-O48&gt;0,0,P49*P48),0)</f>
        <v>0</v>
      </c>
      <c r="Q50" s="694">
        <f t="shared" ref="Q50" si="283">IF(P52&gt;0,IF(Q48-P48&gt;0,0,Q49*Q48),0)</f>
        <v>0</v>
      </c>
      <c r="R50" s="694">
        <f t="shared" ref="R50" si="284">IF(Q52&gt;0,IF(R48-Q48&gt;0,0,R49*R48),0)</f>
        <v>0</v>
      </c>
      <c r="S50" s="694">
        <f t="shared" ref="S50" si="285">IF(R52&gt;0,IF(S48-R48&gt;0,0,S49*S48),0)</f>
        <v>0</v>
      </c>
      <c r="T50" s="694">
        <f t="shared" ref="T50" si="286">IF(S52&gt;0,IF(T48-S48&gt;0,0,T49*T48),0)</f>
        <v>0</v>
      </c>
      <c r="U50" s="694">
        <f t="shared" ref="U50" si="287">IF(T52&gt;0,IF(U48-T48&gt;0,0,U49*U48),0)</f>
        <v>0</v>
      </c>
      <c r="V50" s="694">
        <f t="shared" ref="V50" si="288">IF(U52&gt;0,IF(V48-U48&gt;0,0,V49*V48),0)</f>
        <v>0</v>
      </c>
      <c r="W50" s="694">
        <f t="shared" ref="W50" si="289">IF(V52&gt;0,IF(W48-V48&gt;0,0,W49*W48),0)</f>
        <v>0</v>
      </c>
      <c r="X50" s="694">
        <f t="shared" ref="X50" si="290">IF(W52&gt;0,IF(X48-W48&gt;0,0,X49*X48),0)</f>
        <v>0</v>
      </c>
      <c r="Y50" s="694">
        <f t="shared" ref="Y50" si="291">IF(X52&gt;0,IF(Y48-X48&gt;0,0,Y49*Y48),0)</f>
        <v>0</v>
      </c>
      <c r="Z50" s="694">
        <f t="shared" ref="Z50" si="292">IF(Y52&gt;0,IF(Z48-Y48&gt;0,0,Z49*Z48),0)</f>
        <v>0</v>
      </c>
      <c r="AA50" s="694">
        <f t="shared" ref="AA50" si="293">IF(Z52&gt;0,IF(AA48-Z48&gt;0,0,AA49*AA48),0)</f>
        <v>0</v>
      </c>
      <c r="AB50" s="694">
        <f t="shared" ref="AB50" si="294">IF(AA52&gt;0,IF(AB48-AA48&gt;0,0,AB49*AB48),0)</f>
        <v>0</v>
      </c>
      <c r="AC50" s="694">
        <f t="shared" ref="AC50" si="295">IF(AB52&gt;0,IF(AC48-AB48&gt;0,0,AC49*AC48),0)</f>
        <v>0</v>
      </c>
      <c r="AD50" s="694">
        <f t="shared" ref="AD50" si="296">IF(AC52&gt;0,IF(AD48-AC48&gt;0,0,AD49*AD48),0)</f>
        <v>0</v>
      </c>
      <c r="AE50" s="694">
        <f t="shared" ref="AE50" si="297">IF(AD52&gt;0,IF(AE48-AD48&gt;0,0,AE49*AE48),0)</f>
        <v>0</v>
      </c>
      <c r="AF50" s="694">
        <f t="shared" ref="AF50" si="298">IF(AE52&gt;0,IF(AF48-AE48&gt;0,0,AF49*AF48),0)</f>
        <v>0</v>
      </c>
      <c r="AG50" s="694">
        <f t="shared" ref="AG50" si="299">IF(AF52&gt;0,IF(AG48-AF48&gt;0,0,AG49*AG48),0)</f>
        <v>0</v>
      </c>
      <c r="AH50" s="694">
        <f>IF(AG52&gt;0,IF(AH48-AG48&gt;0,0,AH49*AH48),0)</f>
        <v>0</v>
      </c>
      <c r="AI50" s="694">
        <f>IF(AH52&gt;0,IF(AI48-AH48&gt;0,0,AI49*AI48),0)</f>
        <v>0</v>
      </c>
      <c r="AK50" s="137"/>
      <c r="AL50" s="138"/>
      <c r="AM50" s="137"/>
      <c r="AN50" s="138"/>
      <c r="AO50" s="137"/>
      <c r="AP50" s="138"/>
      <c r="AQ50" s="137"/>
      <c r="AR50" s="138"/>
      <c r="AS50" s="137"/>
      <c r="AT50" s="137"/>
    </row>
    <row r="51" spans="1:46" s="136" customFormat="1" x14ac:dyDescent="0.2">
      <c r="A51" s="147" t="s">
        <v>107</v>
      </c>
      <c r="B51" s="695">
        <f>B50</f>
        <v>0</v>
      </c>
      <c r="C51" s="694">
        <f t="shared" ref="C51" si="300">C50+B51</f>
        <v>0</v>
      </c>
      <c r="D51" s="694">
        <f t="shared" ref="D51" si="301">D50+C51</f>
        <v>0</v>
      </c>
      <c r="E51" s="694">
        <f t="shared" ref="E51" si="302">E50+D51</f>
        <v>0</v>
      </c>
      <c r="F51" s="694">
        <f t="shared" ref="F51" si="303">F50+E51</f>
        <v>0</v>
      </c>
      <c r="G51" s="694">
        <f t="shared" ref="G51" si="304">G50+F51</f>
        <v>0</v>
      </c>
      <c r="H51" s="694">
        <f t="shared" ref="H51" si="305">H50+G51</f>
        <v>0</v>
      </c>
      <c r="I51" s="694">
        <f t="shared" ref="I51" si="306">I50+H51</f>
        <v>0</v>
      </c>
      <c r="J51" s="694">
        <f t="shared" ref="J51" si="307">J50+I51</f>
        <v>0</v>
      </c>
      <c r="K51" s="694">
        <f t="shared" ref="K51" si="308">K50+J51</f>
        <v>0</v>
      </c>
      <c r="L51" s="694">
        <f t="shared" ref="L51" si="309">L50+K51</f>
        <v>0</v>
      </c>
      <c r="M51" s="694">
        <f t="shared" ref="M51" si="310">M50+L51</f>
        <v>0</v>
      </c>
      <c r="N51" s="694">
        <f t="shared" ref="N51" si="311">N50+M51</f>
        <v>0</v>
      </c>
      <c r="O51" s="694">
        <f t="shared" ref="O51" si="312">O50+N51</f>
        <v>0</v>
      </c>
      <c r="P51" s="694">
        <f t="shared" ref="P51" si="313">P50+O51</f>
        <v>0</v>
      </c>
      <c r="Q51" s="694">
        <f t="shared" ref="Q51" si="314">Q50+P51</f>
        <v>0</v>
      </c>
      <c r="R51" s="694">
        <f t="shared" ref="R51" si="315">R50+Q51</f>
        <v>0</v>
      </c>
      <c r="S51" s="694">
        <f t="shared" ref="S51" si="316">S50+R51</f>
        <v>0</v>
      </c>
      <c r="T51" s="694">
        <f t="shared" ref="T51" si="317">T50+S51</f>
        <v>0</v>
      </c>
      <c r="U51" s="694">
        <f t="shared" ref="U51" si="318">U50+T51</f>
        <v>0</v>
      </c>
      <c r="V51" s="694">
        <f t="shared" ref="V51" si="319">V50+U51</f>
        <v>0</v>
      </c>
      <c r="W51" s="694">
        <f t="shared" ref="W51" si="320">W50+V51</f>
        <v>0</v>
      </c>
      <c r="X51" s="694">
        <f t="shared" ref="X51" si="321">X50+W51</f>
        <v>0</v>
      </c>
      <c r="Y51" s="694">
        <f t="shared" ref="Y51" si="322">Y50+X51</f>
        <v>0</v>
      </c>
      <c r="Z51" s="694">
        <f t="shared" ref="Z51" si="323">Z50+Y51</f>
        <v>0</v>
      </c>
      <c r="AA51" s="694">
        <f t="shared" ref="AA51" si="324">AA50+Z51</f>
        <v>0</v>
      </c>
      <c r="AB51" s="694">
        <f t="shared" ref="AB51" si="325">AB50+AA51</f>
        <v>0</v>
      </c>
      <c r="AC51" s="694">
        <f t="shared" ref="AC51" si="326">AC50+AB51</f>
        <v>0</v>
      </c>
      <c r="AD51" s="694">
        <f t="shared" ref="AD51" si="327">AD50+AC51</f>
        <v>0</v>
      </c>
      <c r="AE51" s="694">
        <f t="shared" ref="AE51" si="328">AE50+AD51</f>
        <v>0</v>
      </c>
      <c r="AF51" s="694">
        <f t="shared" ref="AF51" si="329">AF50+AE51</f>
        <v>0</v>
      </c>
      <c r="AG51" s="694">
        <f t="shared" ref="AG51" si="330">AG50+AF51</f>
        <v>0</v>
      </c>
      <c r="AH51" s="694">
        <f>AH50+AG51</f>
        <v>0</v>
      </c>
      <c r="AI51" s="694">
        <f>AI50+AH51</f>
        <v>0</v>
      </c>
      <c r="AK51" s="137"/>
      <c r="AL51" s="138"/>
      <c r="AM51" s="137"/>
      <c r="AN51" s="138"/>
      <c r="AO51" s="137"/>
      <c r="AP51" s="138"/>
      <c r="AQ51" s="137"/>
      <c r="AR51" s="138"/>
      <c r="AS51" s="137"/>
      <c r="AT51" s="137"/>
    </row>
    <row r="52" spans="1:46" s="136" customFormat="1" x14ac:dyDescent="0.2">
      <c r="A52" s="147" t="s">
        <v>108</v>
      </c>
      <c r="B52" s="695">
        <f t="shared" ref="B52:AG52" si="331">ROUND(IF(B48-B51&gt;0,B48-B51,0),0)</f>
        <v>0</v>
      </c>
      <c r="C52" s="694">
        <f t="shared" si="331"/>
        <v>0</v>
      </c>
      <c r="D52" s="694">
        <f t="shared" si="331"/>
        <v>0</v>
      </c>
      <c r="E52" s="694">
        <f t="shared" si="331"/>
        <v>0</v>
      </c>
      <c r="F52" s="694">
        <f t="shared" si="331"/>
        <v>0</v>
      </c>
      <c r="G52" s="694">
        <f t="shared" si="331"/>
        <v>0</v>
      </c>
      <c r="H52" s="694">
        <f t="shared" si="331"/>
        <v>0</v>
      </c>
      <c r="I52" s="694">
        <f t="shared" si="331"/>
        <v>0</v>
      </c>
      <c r="J52" s="694">
        <f t="shared" si="331"/>
        <v>0</v>
      </c>
      <c r="K52" s="694">
        <f t="shared" si="331"/>
        <v>0</v>
      </c>
      <c r="L52" s="694">
        <f t="shared" si="331"/>
        <v>0</v>
      </c>
      <c r="M52" s="694">
        <f t="shared" si="331"/>
        <v>0</v>
      </c>
      <c r="N52" s="694">
        <f t="shared" si="331"/>
        <v>0</v>
      </c>
      <c r="O52" s="694">
        <f t="shared" si="331"/>
        <v>0</v>
      </c>
      <c r="P52" s="694">
        <f t="shared" si="331"/>
        <v>0</v>
      </c>
      <c r="Q52" s="694">
        <f t="shared" si="331"/>
        <v>0</v>
      </c>
      <c r="R52" s="694">
        <f t="shared" si="331"/>
        <v>0</v>
      </c>
      <c r="S52" s="694">
        <f t="shared" si="331"/>
        <v>0</v>
      </c>
      <c r="T52" s="694">
        <f t="shared" si="331"/>
        <v>0</v>
      </c>
      <c r="U52" s="694">
        <f t="shared" si="331"/>
        <v>0</v>
      </c>
      <c r="V52" s="694">
        <f t="shared" si="331"/>
        <v>0</v>
      </c>
      <c r="W52" s="694">
        <f t="shared" si="331"/>
        <v>0</v>
      </c>
      <c r="X52" s="694">
        <f t="shared" si="331"/>
        <v>0</v>
      </c>
      <c r="Y52" s="694">
        <f t="shared" si="331"/>
        <v>0</v>
      </c>
      <c r="Z52" s="694">
        <f t="shared" si="331"/>
        <v>0</v>
      </c>
      <c r="AA52" s="694">
        <f t="shared" si="331"/>
        <v>0</v>
      </c>
      <c r="AB52" s="694">
        <f t="shared" si="331"/>
        <v>0</v>
      </c>
      <c r="AC52" s="694">
        <f t="shared" si="331"/>
        <v>0</v>
      </c>
      <c r="AD52" s="694">
        <f t="shared" si="331"/>
        <v>0</v>
      </c>
      <c r="AE52" s="694">
        <f t="shared" si="331"/>
        <v>0</v>
      </c>
      <c r="AF52" s="694">
        <f t="shared" si="331"/>
        <v>0</v>
      </c>
      <c r="AG52" s="694">
        <f t="shared" si="331"/>
        <v>0</v>
      </c>
      <c r="AH52" s="694">
        <f>ROUND(IF(AH48-AH51&gt;0,AH48-AH51,0),0)</f>
        <v>0</v>
      </c>
      <c r="AI52" s="694">
        <f>ROUND(IF(AI48-AI51&gt;0,AI48-AI51,0),0)</f>
        <v>0</v>
      </c>
      <c r="AK52" s="137"/>
      <c r="AL52" s="138"/>
      <c r="AM52" s="137"/>
      <c r="AN52" s="138"/>
      <c r="AO52" s="137"/>
      <c r="AP52" s="138"/>
      <c r="AQ52" s="137"/>
      <c r="AR52" s="138"/>
      <c r="AS52" s="137"/>
      <c r="AT52" s="137"/>
    </row>
    <row r="53" spans="1:46" s="136" customFormat="1" x14ac:dyDescent="0.2">
      <c r="A53" s="148"/>
      <c r="B53" s="699"/>
      <c r="C53" s="699"/>
      <c r="D53" s="699"/>
      <c r="E53" s="699"/>
      <c r="F53" s="699"/>
      <c r="G53" s="699"/>
      <c r="H53" s="699"/>
      <c r="I53" s="699"/>
      <c r="J53" s="699"/>
      <c r="K53" s="699"/>
      <c r="L53" s="699"/>
      <c r="M53" s="699"/>
      <c r="N53" s="699"/>
      <c r="O53" s="699"/>
      <c r="P53" s="699"/>
      <c r="Q53" s="699"/>
      <c r="R53" s="699"/>
      <c r="S53" s="699"/>
      <c r="T53" s="699"/>
      <c r="U53" s="699"/>
      <c r="V53" s="699"/>
      <c r="W53" s="699"/>
      <c r="X53" s="699"/>
      <c r="Y53" s="699"/>
      <c r="Z53" s="699"/>
      <c r="AA53" s="699"/>
      <c r="AB53" s="699"/>
      <c r="AC53" s="699"/>
      <c r="AD53" s="699"/>
      <c r="AE53" s="699"/>
      <c r="AF53" s="699"/>
      <c r="AG53" s="699"/>
      <c r="AH53" s="699"/>
      <c r="AI53" s="699"/>
      <c r="AK53" s="137"/>
      <c r="AL53" s="138"/>
      <c r="AM53" s="137"/>
      <c r="AN53" s="138"/>
      <c r="AO53" s="137"/>
      <c r="AP53" s="138"/>
      <c r="AQ53" s="137"/>
      <c r="AR53" s="138"/>
      <c r="AS53" s="137"/>
      <c r="AT53" s="137"/>
    </row>
    <row r="54" spans="1:46" s="136" customFormat="1" x14ac:dyDescent="0.2">
      <c r="A54" s="149" t="s">
        <v>109</v>
      </c>
      <c r="B54" s="701"/>
      <c r="C54" s="701"/>
      <c r="D54" s="701"/>
      <c r="E54" s="701"/>
      <c r="F54" s="701"/>
      <c r="G54" s="701"/>
      <c r="H54" s="701"/>
      <c r="I54" s="699"/>
      <c r="J54" s="699"/>
      <c r="K54" s="699"/>
      <c r="L54" s="699"/>
      <c r="M54" s="699"/>
      <c r="N54" s="699"/>
      <c r="O54" s="699"/>
      <c r="P54" s="699"/>
      <c r="Q54" s="699"/>
      <c r="R54" s="699"/>
      <c r="S54" s="699"/>
      <c r="T54" s="699"/>
      <c r="U54" s="699"/>
      <c r="V54" s="699"/>
      <c r="W54" s="699"/>
      <c r="X54" s="699"/>
      <c r="Y54" s="699"/>
      <c r="Z54" s="699"/>
      <c r="AA54" s="699"/>
      <c r="AB54" s="699"/>
      <c r="AC54" s="699"/>
      <c r="AD54" s="699"/>
      <c r="AE54" s="699"/>
      <c r="AF54" s="699"/>
      <c r="AG54" s="699"/>
      <c r="AH54" s="699"/>
      <c r="AI54" s="699"/>
      <c r="AK54" s="137"/>
      <c r="AL54" s="138"/>
      <c r="AM54" s="137"/>
      <c r="AN54" s="138"/>
      <c r="AO54" s="137"/>
      <c r="AP54" s="138"/>
      <c r="AQ54" s="137"/>
      <c r="AR54" s="138"/>
      <c r="AS54" s="137"/>
      <c r="AT54" s="137"/>
    </row>
    <row r="55" spans="1:46" s="136" customFormat="1" x14ac:dyDescent="0.2">
      <c r="A55" s="146" t="s">
        <v>8</v>
      </c>
      <c r="B55" s="699"/>
      <c r="C55" s="699"/>
      <c r="D55" s="699"/>
      <c r="E55" s="699"/>
      <c r="F55" s="699"/>
      <c r="G55" s="699"/>
      <c r="H55" s="699"/>
      <c r="I55" s="699"/>
      <c r="J55" s="699"/>
      <c r="K55" s="699"/>
      <c r="L55" s="699"/>
      <c r="M55" s="699"/>
      <c r="N55" s="699"/>
      <c r="O55" s="699"/>
      <c r="P55" s="699"/>
      <c r="Q55" s="699"/>
      <c r="R55" s="699"/>
      <c r="S55" s="699"/>
      <c r="T55" s="699"/>
      <c r="U55" s="699"/>
      <c r="V55" s="699"/>
      <c r="W55" s="699"/>
      <c r="X55" s="699"/>
      <c r="Y55" s="699"/>
      <c r="Z55" s="699"/>
      <c r="AA55" s="699"/>
      <c r="AB55" s="699"/>
      <c r="AC55" s="699"/>
      <c r="AD55" s="699"/>
      <c r="AE55" s="699"/>
      <c r="AF55" s="699"/>
      <c r="AG55" s="699"/>
      <c r="AH55" s="699"/>
      <c r="AI55" s="699"/>
      <c r="AK55" s="137"/>
      <c r="AL55" s="138"/>
      <c r="AM55" s="137"/>
      <c r="AN55" s="138"/>
      <c r="AO55" s="137"/>
      <c r="AP55" s="138"/>
      <c r="AQ55" s="137"/>
      <c r="AR55" s="138"/>
      <c r="AS55" s="137"/>
      <c r="AT55" s="137"/>
    </row>
    <row r="56" spans="1:46" s="136" customFormat="1" x14ac:dyDescent="0.2">
      <c r="A56" s="147" t="s">
        <v>104</v>
      </c>
      <c r="B56" s="695">
        <f>'gadu šķirošana'!C55</f>
        <v>0</v>
      </c>
      <c r="C56" s="695">
        <f>'gadu šķirošana'!D55+B56</f>
        <v>0</v>
      </c>
      <c r="D56" s="695">
        <f>'gadu šķirošana'!E55+C56</f>
        <v>0</v>
      </c>
      <c r="E56" s="695">
        <f>'gadu šķirošana'!F55+D56</f>
        <v>0</v>
      </c>
      <c r="F56" s="695">
        <f>'gadu šķirošana'!G55+E56</f>
        <v>0</v>
      </c>
      <c r="G56" s="695">
        <f>'gadu šķirošana'!H55+F56</f>
        <v>0</v>
      </c>
      <c r="H56" s="695">
        <f>'gadu šķirošana'!I55+G56</f>
        <v>0</v>
      </c>
      <c r="I56" s="695">
        <f>'gadu šķirošana'!J55+H56</f>
        <v>0</v>
      </c>
      <c r="J56" s="695">
        <f>'gadu šķirošana'!K55+I56</f>
        <v>0</v>
      </c>
      <c r="K56" s="695">
        <f>'gadu šķirošana'!L55+J56</f>
        <v>0</v>
      </c>
      <c r="L56" s="695">
        <f>'gadu šķirošana'!M55+K56</f>
        <v>0</v>
      </c>
      <c r="M56" s="695">
        <f>'gadu šķirošana'!N55+L56</f>
        <v>0</v>
      </c>
      <c r="N56" s="695">
        <f>'gadu šķirošana'!O55+M56</f>
        <v>0</v>
      </c>
      <c r="O56" s="695">
        <f>'gadu šķirošana'!P55+N56</f>
        <v>0</v>
      </c>
      <c r="P56" s="695">
        <f>'gadu šķirošana'!Q55+O56</f>
        <v>0</v>
      </c>
      <c r="Q56" s="695">
        <f>'gadu šķirošana'!R55+P56</f>
        <v>0</v>
      </c>
      <c r="R56" s="695">
        <f>'gadu šķirošana'!S55+Q56</f>
        <v>0</v>
      </c>
      <c r="S56" s="695">
        <f>'gadu šķirošana'!T55+R56</f>
        <v>0</v>
      </c>
      <c r="T56" s="695">
        <f>'gadu šķirošana'!U55+S56</f>
        <v>0</v>
      </c>
      <c r="U56" s="695">
        <f>'gadu šķirošana'!V55+T56</f>
        <v>0</v>
      </c>
      <c r="V56" s="695">
        <f>'gadu šķirošana'!W55+U56</f>
        <v>0</v>
      </c>
      <c r="W56" s="695">
        <f>'gadu šķirošana'!X55+V56</f>
        <v>0</v>
      </c>
      <c r="X56" s="695">
        <f>'gadu šķirošana'!Y55+W56</f>
        <v>0</v>
      </c>
      <c r="Y56" s="695">
        <f>'gadu šķirošana'!Z55+X56</f>
        <v>0</v>
      </c>
      <c r="Z56" s="695">
        <f>'gadu šķirošana'!AA55+Y56</f>
        <v>0</v>
      </c>
      <c r="AA56" s="695">
        <f>'gadu šķirošana'!AB55+Z56</f>
        <v>0</v>
      </c>
      <c r="AB56" s="695">
        <f>'gadu šķirošana'!AC55+AA56</f>
        <v>0</v>
      </c>
      <c r="AC56" s="695">
        <f>'gadu šķirošana'!AD55+AB56</f>
        <v>0</v>
      </c>
      <c r="AD56" s="695">
        <f>'gadu šķirošana'!AE55+AC56</f>
        <v>0</v>
      </c>
      <c r="AE56" s="695">
        <f>'gadu šķirošana'!AF55+AD56</f>
        <v>0</v>
      </c>
      <c r="AF56" s="695">
        <f>'gadu šķirošana'!AG55+AE56</f>
        <v>0</v>
      </c>
      <c r="AG56" s="695">
        <f>'gadu šķirošana'!AH55+AF56</f>
        <v>0</v>
      </c>
      <c r="AH56" s="695">
        <f>'gadu šķirošana'!AI55+AG56</f>
        <v>0</v>
      </c>
      <c r="AI56" s="695">
        <f>'gadu šķirošana'!AJ55+AH56</f>
        <v>0</v>
      </c>
      <c r="AL56" s="113"/>
      <c r="AN56" s="133"/>
      <c r="AO56" s="112"/>
      <c r="AP56" s="133"/>
      <c r="AQ56" s="112"/>
      <c r="AR56" s="133"/>
    </row>
    <row r="57" spans="1:46" s="136" customFormat="1" x14ac:dyDescent="0.2">
      <c r="A57" s="147" t="s">
        <v>105</v>
      </c>
      <c r="B57" s="35">
        <f>1/'Kopējie pieņēmumi'!$B$27</f>
        <v>0.02</v>
      </c>
      <c r="C57" s="14">
        <f>B57</f>
        <v>0.02</v>
      </c>
      <c r="D57" s="14">
        <f t="shared" ref="D57" si="332">C57</f>
        <v>0.02</v>
      </c>
      <c r="E57" s="14">
        <f t="shared" ref="E57" si="333">D57</f>
        <v>0.02</v>
      </c>
      <c r="F57" s="14">
        <f t="shared" ref="F57" si="334">E57</f>
        <v>0.02</v>
      </c>
      <c r="G57" s="14">
        <f t="shared" ref="G57" si="335">F57</f>
        <v>0.02</v>
      </c>
      <c r="H57" s="14">
        <f t="shared" ref="H57" si="336">G57</f>
        <v>0.02</v>
      </c>
      <c r="I57" s="14">
        <f t="shared" ref="I57" si="337">H57</f>
        <v>0.02</v>
      </c>
      <c r="J57" s="14">
        <f t="shared" ref="J57" si="338">I57</f>
        <v>0.02</v>
      </c>
      <c r="K57" s="14">
        <f t="shared" ref="K57" si="339">J57</f>
        <v>0.02</v>
      </c>
      <c r="L57" s="14">
        <f t="shared" ref="L57" si="340">K57</f>
        <v>0.02</v>
      </c>
      <c r="M57" s="14">
        <f t="shared" ref="M57" si="341">L57</f>
        <v>0.02</v>
      </c>
      <c r="N57" s="14">
        <f t="shared" ref="N57" si="342">M57</f>
        <v>0.02</v>
      </c>
      <c r="O57" s="14">
        <f t="shared" ref="O57" si="343">N57</f>
        <v>0.02</v>
      </c>
      <c r="P57" s="14">
        <f t="shared" ref="P57" si="344">O57</f>
        <v>0.02</v>
      </c>
      <c r="Q57" s="14">
        <f t="shared" ref="Q57" si="345">P57</f>
        <v>0.02</v>
      </c>
      <c r="R57" s="14">
        <f t="shared" ref="R57" si="346">Q57</f>
        <v>0.02</v>
      </c>
      <c r="S57" s="14">
        <f t="shared" ref="S57" si="347">R57</f>
        <v>0.02</v>
      </c>
      <c r="T57" s="14">
        <f t="shared" ref="T57" si="348">S57</f>
        <v>0.02</v>
      </c>
      <c r="U57" s="14">
        <f t="shared" ref="U57" si="349">T57</f>
        <v>0.02</v>
      </c>
      <c r="V57" s="14">
        <f t="shared" ref="V57" si="350">U57</f>
        <v>0.02</v>
      </c>
      <c r="W57" s="14">
        <f t="shared" ref="W57" si="351">V57</f>
        <v>0.02</v>
      </c>
      <c r="X57" s="14">
        <f t="shared" ref="X57" si="352">W57</f>
        <v>0.02</v>
      </c>
      <c r="Y57" s="14">
        <f t="shared" ref="Y57" si="353">X57</f>
        <v>0.02</v>
      </c>
      <c r="Z57" s="14">
        <f t="shared" ref="Z57" si="354">Y57</f>
        <v>0.02</v>
      </c>
      <c r="AA57" s="14">
        <f t="shared" ref="AA57" si="355">Z57</f>
        <v>0.02</v>
      </c>
      <c r="AB57" s="14">
        <f t="shared" ref="AB57" si="356">AA57</f>
        <v>0.02</v>
      </c>
      <c r="AC57" s="14">
        <f t="shared" ref="AC57" si="357">AB57</f>
        <v>0.02</v>
      </c>
      <c r="AD57" s="14">
        <f t="shared" ref="AD57" si="358">AC57</f>
        <v>0.02</v>
      </c>
      <c r="AE57" s="14">
        <f t="shared" ref="AE57" si="359">AD57</f>
        <v>0.02</v>
      </c>
      <c r="AF57" s="14">
        <f t="shared" ref="AF57" si="360">AE57</f>
        <v>0.02</v>
      </c>
      <c r="AG57" s="14">
        <f t="shared" ref="AG57" si="361">AF57</f>
        <v>0.02</v>
      </c>
      <c r="AH57" s="14">
        <f t="shared" ref="AH57" si="362">AG57</f>
        <v>0.02</v>
      </c>
      <c r="AI57" s="14">
        <f>AH57</f>
        <v>0.02</v>
      </c>
      <c r="AL57" s="113"/>
      <c r="AN57" s="133"/>
      <c r="AO57" s="112"/>
      <c r="AP57" s="133"/>
      <c r="AQ57" s="112"/>
      <c r="AR57" s="133"/>
    </row>
    <row r="58" spans="1:46" s="136" customFormat="1" x14ac:dyDescent="0.2">
      <c r="A58" s="147" t="s">
        <v>106</v>
      </c>
      <c r="B58" s="697">
        <v>0</v>
      </c>
      <c r="C58" s="694">
        <f t="shared" ref="C58" si="363">IF(B60&gt;0,IF(C56-B56&gt;0,0,C57*C56),0)</f>
        <v>0</v>
      </c>
      <c r="D58" s="694">
        <f t="shared" ref="D58" si="364">IF(C60&gt;0,IF(D56-C56&gt;0,0,D57*D56),0)</f>
        <v>0</v>
      </c>
      <c r="E58" s="694">
        <f t="shared" ref="E58" si="365">IF(D60&gt;0,IF(E56-D56&gt;0,0,E57*E56),0)</f>
        <v>0</v>
      </c>
      <c r="F58" s="694">
        <f t="shared" ref="F58" si="366">IF(E60&gt;0,IF(F56-E56&gt;0,0,F57*F56),0)</f>
        <v>0</v>
      </c>
      <c r="G58" s="694">
        <f t="shared" ref="G58" si="367">IF(F60&gt;0,IF(G56-F56&gt;0,0,G57*G56),0)</f>
        <v>0</v>
      </c>
      <c r="H58" s="694">
        <f t="shared" ref="H58" si="368">IF(G60&gt;0,IF(H56-G56&gt;0,0,H57*H56),0)</f>
        <v>0</v>
      </c>
      <c r="I58" s="694">
        <f t="shared" ref="I58" si="369">IF(H60&gt;0,IF(I56-H56&gt;0,0,I57*I56),0)</f>
        <v>0</v>
      </c>
      <c r="J58" s="694">
        <f t="shared" ref="J58" si="370">IF(I60&gt;0,IF(J56-I56&gt;0,0,J57*J56),0)</f>
        <v>0</v>
      </c>
      <c r="K58" s="694">
        <f t="shared" ref="K58" si="371">IF(J60&gt;0,IF(K56-J56&gt;0,0,K57*K56),0)</f>
        <v>0</v>
      </c>
      <c r="L58" s="694">
        <f t="shared" ref="L58" si="372">IF(K60&gt;0,IF(L56-K56&gt;0,0,L57*L56),0)</f>
        <v>0</v>
      </c>
      <c r="M58" s="694">
        <f t="shared" ref="M58" si="373">IF(L60&gt;0,IF(M56-L56&gt;0,0,M57*M56),0)</f>
        <v>0</v>
      </c>
      <c r="N58" s="694">
        <f t="shared" ref="N58" si="374">IF(M60&gt;0,IF(N56-M56&gt;0,0,N57*N56),0)</f>
        <v>0</v>
      </c>
      <c r="O58" s="694">
        <f t="shared" ref="O58" si="375">IF(N60&gt;0,IF(O56-N56&gt;0,0,O57*O56),0)</f>
        <v>0</v>
      </c>
      <c r="P58" s="694">
        <f t="shared" ref="P58" si="376">IF(O60&gt;0,IF(P56-O56&gt;0,0,P57*P56),0)</f>
        <v>0</v>
      </c>
      <c r="Q58" s="694">
        <f t="shared" ref="Q58" si="377">IF(P60&gt;0,IF(Q56-P56&gt;0,0,Q57*Q56),0)</f>
        <v>0</v>
      </c>
      <c r="R58" s="694">
        <f t="shared" ref="R58" si="378">IF(Q60&gt;0,IF(R56-Q56&gt;0,0,R57*R56),0)</f>
        <v>0</v>
      </c>
      <c r="S58" s="694">
        <f t="shared" ref="S58" si="379">IF(R60&gt;0,IF(S56-R56&gt;0,0,S57*S56),0)</f>
        <v>0</v>
      </c>
      <c r="T58" s="694">
        <f t="shared" ref="T58" si="380">IF(S60&gt;0,IF(T56-S56&gt;0,0,T57*T56),0)</f>
        <v>0</v>
      </c>
      <c r="U58" s="694">
        <f t="shared" ref="U58" si="381">IF(T60&gt;0,IF(U56-T56&gt;0,0,U57*U56),0)</f>
        <v>0</v>
      </c>
      <c r="V58" s="694">
        <f t="shared" ref="V58" si="382">IF(U60&gt;0,IF(V56-U56&gt;0,0,V57*V56),0)</f>
        <v>0</v>
      </c>
      <c r="W58" s="694">
        <f t="shared" ref="W58" si="383">IF(V60&gt;0,IF(W56-V56&gt;0,0,W57*W56),0)</f>
        <v>0</v>
      </c>
      <c r="X58" s="694">
        <f t="shared" ref="X58" si="384">IF(W60&gt;0,IF(X56-W56&gt;0,0,X57*X56),0)</f>
        <v>0</v>
      </c>
      <c r="Y58" s="694">
        <f t="shared" ref="Y58" si="385">IF(X60&gt;0,IF(Y56-X56&gt;0,0,Y57*Y56),0)</f>
        <v>0</v>
      </c>
      <c r="Z58" s="694">
        <f t="shared" ref="Z58" si="386">IF(Y60&gt;0,IF(Z56-Y56&gt;0,0,Z57*Z56),0)</f>
        <v>0</v>
      </c>
      <c r="AA58" s="694">
        <f t="shared" ref="AA58" si="387">IF(Z60&gt;0,IF(AA56-Z56&gt;0,0,AA57*AA56),0)</f>
        <v>0</v>
      </c>
      <c r="AB58" s="694">
        <f t="shared" ref="AB58" si="388">IF(AA60&gt;0,IF(AB56-AA56&gt;0,0,AB57*AB56),0)</f>
        <v>0</v>
      </c>
      <c r="AC58" s="694">
        <f t="shared" ref="AC58" si="389">IF(AB60&gt;0,IF(AC56-AB56&gt;0,0,AC57*AC56),0)</f>
        <v>0</v>
      </c>
      <c r="AD58" s="694">
        <f t="shared" ref="AD58" si="390">IF(AC60&gt;0,IF(AD56-AC56&gt;0,0,AD57*AD56),0)</f>
        <v>0</v>
      </c>
      <c r="AE58" s="694">
        <f t="shared" ref="AE58" si="391">IF(AD60&gt;0,IF(AE56-AD56&gt;0,0,AE57*AE56),0)</f>
        <v>0</v>
      </c>
      <c r="AF58" s="694">
        <f t="shared" ref="AF58" si="392">IF(AE60&gt;0,IF(AF56-AE56&gt;0,0,AF57*AF56),0)</f>
        <v>0</v>
      </c>
      <c r="AG58" s="694">
        <f t="shared" ref="AG58" si="393">IF(AF60&gt;0,IF(AG56-AF56&gt;0,0,AG57*AG56),0)</f>
        <v>0</v>
      </c>
      <c r="AH58" s="694">
        <f>IF(AG60&gt;0,IF(AH56-AG56&gt;0,0,AH57*AH56),0)</f>
        <v>0</v>
      </c>
      <c r="AI58" s="694">
        <f>IF(AH60&gt;0,IF(AI56-AH56&gt;0,0,AI57*AI56),0)</f>
        <v>0</v>
      </c>
      <c r="AL58" s="113"/>
      <c r="AN58" s="133"/>
      <c r="AO58" s="112"/>
      <c r="AP58" s="133"/>
      <c r="AQ58" s="112"/>
      <c r="AR58" s="133"/>
    </row>
    <row r="59" spans="1:46" s="136" customFormat="1" x14ac:dyDescent="0.2">
      <c r="A59" s="147" t="s">
        <v>107</v>
      </c>
      <c r="B59" s="695">
        <f>B58</f>
        <v>0</v>
      </c>
      <c r="C59" s="694">
        <f t="shared" ref="C59" si="394">C58+B59</f>
        <v>0</v>
      </c>
      <c r="D59" s="694">
        <f t="shared" ref="D59" si="395">D58+C59</f>
        <v>0</v>
      </c>
      <c r="E59" s="694">
        <f t="shared" ref="E59" si="396">E58+D59</f>
        <v>0</v>
      </c>
      <c r="F59" s="694">
        <f t="shared" ref="F59" si="397">F58+E59</f>
        <v>0</v>
      </c>
      <c r="G59" s="694">
        <f t="shared" ref="G59" si="398">G58+F59</f>
        <v>0</v>
      </c>
      <c r="H59" s="694">
        <f t="shared" ref="H59" si="399">H58+G59</f>
        <v>0</v>
      </c>
      <c r="I59" s="694">
        <f t="shared" ref="I59" si="400">I58+H59</f>
        <v>0</v>
      </c>
      <c r="J59" s="694">
        <f t="shared" ref="J59" si="401">J58+I59</f>
        <v>0</v>
      </c>
      <c r="K59" s="694">
        <f t="shared" ref="K59" si="402">K58+J59</f>
        <v>0</v>
      </c>
      <c r="L59" s="694">
        <f t="shared" ref="L59" si="403">L58+K59</f>
        <v>0</v>
      </c>
      <c r="M59" s="694">
        <f t="shared" ref="M59" si="404">M58+L59</f>
        <v>0</v>
      </c>
      <c r="N59" s="694">
        <f t="shared" ref="N59" si="405">N58+M59</f>
        <v>0</v>
      </c>
      <c r="O59" s="694">
        <f t="shared" ref="O59" si="406">O58+N59</f>
        <v>0</v>
      </c>
      <c r="P59" s="694">
        <f t="shared" ref="P59" si="407">P58+O59</f>
        <v>0</v>
      </c>
      <c r="Q59" s="694">
        <f t="shared" ref="Q59" si="408">Q58+P59</f>
        <v>0</v>
      </c>
      <c r="R59" s="694">
        <f t="shared" ref="R59" si="409">R58+Q59</f>
        <v>0</v>
      </c>
      <c r="S59" s="694">
        <f t="shared" ref="S59" si="410">S58+R59</f>
        <v>0</v>
      </c>
      <c r="T59" s="694">
        <f t="shared" ref="T59" si="411">T58+S59</f>
        <v>0</v>
      </c>
      <c r="U59" s="694">
        <f t="shared" ref="U59" si="412">U58+T59</f>
        <v>0</v>
      </c>
      <c r="V59" s="694">
        <f t="shared" ref="V59" si="413">V58+U59</f>
        <v>0</v>
      </c>
      <c r="W59" s="694">
        <f t="shared" ref="W59" si="414">W58+V59</f>
        <v>0</v>
      </c>
      <c r="X59" s="694">
        <f t="shared" ref="X59" si="415">X58+W59</f>
        <v>0</v>
      </c>
      <c r="Y59" s="694">
        <f t="shared" ref="Y59" si="416">Y58+X59</f>
        <v>0</v>
      </c>
      <c r="Z59" s="694">
        <f t="shared" ref="Z59" si="417">Z58+Y59</f>
        <v>0</v>
      </c>
      <c r="AA59" s="694">
        <f t="shared" ref="AA59" si="418">AA58+Z59</f>
        <v>0</v>
      </c>
      <c r="AB59" s="694">
        <f t="shared" ref="AB59" si="419">AB58+AA59</f>
        <v>0</v>
      </c>
      <c r="AC59" s="694">
        <f t="shared" ref="AC59" si="420">AC58+AB59</f>
        <v>0</v>
      </c>
      <c r="AD59" s="694">
        <f t="shared" ref="AD59" si="421">AD58+AC59</f>
        <v>0</v>
      </c>
      <c r="AE59" s="694">
        <f t="shared" ref="AE59" si="422">AE58+AD59</f>
        <v>0</v>
      </c>
      <c r="AF59" s="694">
        <f t="shared" ref="AF59" si="423">AF58+AE59</f>
        <v>0</v>
      </c>
      <c r="AG59" s="694">
        <f t="shared" ref="AG59" si="424">AG58+AF59</f>
        <v>0</v>
      </c>
      <c r="AH59" s="694">
        <f>AH58+AG59</f>
        <v>0</v>
      </c>
      <c r="AI59" s="694">
        <f>AI58+AH59</f>
        <v>0</v>
      </c>
      <c r="AL59" s="113"/>
      <c r="AN59" s="133"/>
      <c r="AO59" s="112"/>
      <c r="AP59" s="133"/>
      <c r="AQ59" s="112"/>
      <c r="AR59" s="133"/>
    </row>
    <row r="60" spans="1:46" s="136" customFormat="1" x14ac:dyDescent="0.2">
      <c r="A60" s="147" t="s">
        <v>108</v>
      </c>
      <c r="B60" s="695">
        <f>ROUND(IF(B56-B59&gt;0,B56-B59,0),4)</f>
        <v>0</v>
      </c>
      <c r="C60" s="694">
        <f>ROUND(IF(C56-C59&gt;0,C56-C59,0),4)</f>
        <v>0</v>
      </c>
      <c r="D60" s="694">
        <f t="shared" ref="D60:AH60" si="425">ROUND(IF(D56-D59&gt;0,D56-D59,0),4)</f>
        <v>0</v>
      </c>
      <c r="E60" s="694">
        <f t="shared" si="425"/>
        <v>0</v>
      </c>
      <c r="F60" s="694">
        <f t="shared" si="425"/>
        <v>0</v>
      </c>
      <c r="G60" s="694">
        <f t="shared" si="425"/>
        <v>0</v>
      </c>
      <c r="H60" s="694">
        <f t="shared" si="425"/>
        <v>0</v>
      </c>
      <c r="I60" s="694">
        <f t="shared" si="425"/>
        <v>0</v>
      </c>
      <c r="J60" s="694">
        <f t="shared" si="425"/>
        <v>0</v>
      </c>
      <c r="K60" s="694">
        <f t="shared" si="425"/>
        <v>0</v>
      </c>
      <c r="L60" s="694">
        <f t="shared" si="425"/>
        <v>0</v>
      </c>
      <c r="M60" s="694">
        <f t="shared" si="425"/>
        <v>0</v>
      </c>
      <c r="N60" s="694">
        <f t="shared" si="425"/>
        <v>0</v>
      </c>
      <c r="O60" s="694">
        <f t="shared" si="425"/>
        <v>0</v>
      </c>
      <c r="P60" s="694">
        <f t="shared" si="425"/>
        <v>0</v>
      </c>
      <c r="Q60" s="694">
        <f t="shared" si="425"/>
        <v>0</v>
      </c>
      <c r="R60" s="694">
        <f t="shared" si="425"/>
        <v>0</v>
      </c>
      <c r="S60" s="694">
        <f t="shared" si="425"/>
        <v>0</v>
      </c>
      <c r="T60" s="694">
        <f t="shared" si="425"/>
        <v>0</v>
      </c>
      <c r="U60" s="694">
        <f t="shared" si="425"/>
        <v>0</v>
      </c>
      <c r="V60" s="694">
        <f t="shared" si="425"/>
        <v>0</v>
      </c>
      <c r="W60" s="694">
        <f t="shared" si="425"/>
        <v>0</v>
      </c>
      <c r="X60" s="694">
        <f t="shared" si="425"/>
        <v>0</v>
      </c>
      <c r="Y60" s="694">
        <f t="shared" si="425"/>
        <v>0</v>
      </c>
      <c r="Z60" s="694">
        <f t="shared" si="425"/>
        <v>0</v>
      </c>
      <c r="AA60" s="694">
        <f t="shared" si="425"/>
        <v>0</v>
      </c>
      <c r="AB60" s="694">
        <f t="shared" si="425"/>
        <v>0</v>
      </c>
      <c r="AC60" s="694">
        <f t="shared" si="425"/>
        <v>0</v>
      </c>
      <c r="AD60" s="694">
        <f t="shared" si="425"/>
        <v>0</v>
      </c>
      <c r="AE60" s="694">
        <f t="shared" si="425"/>
        <v>0</v>
      </c>
      <c r="AF60" s="694">
        <f t="shared" si="425"/>
        <v>0</v>
      </c>
      <c r="AG60" s="694">
        <f t="shared" si="425"/>
        <v>0</v>
      </c>
      <c r="AH60" s="694">
        <f t="shared" si="425"/>
        <v>0</v>
      </c>
      <c r="AI60" s="694">
        <f>ROUND(IF(AI56-AI59&gt;0,AI56-AI59,0),4)</f>
        <v>0</v>
      </c>
      <c r="AL60" s="113"/>
      <c r="AN60" s="133"/>
      <c r="AO60" s="112"/>
      <c r="AP60" s="133"/>
      <c r="AQ60" s="112"/>
      <c r="AR60" s="133"/>
    </row>
    <row r="61" spans="1:46" s="136" customFormat="1" x14ac:dyDescent="0.2">
      <c r="A61" s="146" t="s">
        <v>9</v>
      </c>
      <c r="B61" s="698"/>
      <c r="C61" s="699"/>
      <c r="D61" s="699"/>
      <c r="E61" s="699"/>
      <c r="F61" s="699"/>
      <c r="G61" s="699"/>
      <c r="H61" s="699"/>
      <c r="I61" s="699"/>
      <c r="J61" s="699"/>
      <c r="K61" s="699"/>
      <c r="L61" s="699"/>
      <c r="M61" s="699"/>
      <c r="N61" s="699"/>
      <c r="O61" s="699"/>
      <c r="P61" s="699"/>
      <c r="Q61" s="699"/>
      <c r="R61" s="699"/>
      <c r="S61" s="699"/>
      <c r="T61" s="699"/>
      <c r="U61" s="699"/>
      <c r="V61" s="699"/>
      <c r="W61" s="699"/>
      <c r="X61" s="699"/>
      <c r="Y61" s="699"/>
      <c r="Z61" s="699"/>
      <c r="AA61" s="699"/>
      <c r="AB61" s="699"/>
      <c r="AC61" s="699"/>
      <c r="AD61" s="699"/>
      <c r="AE61" s="699"/>
      <c r="AF61" s="699"/>
      <c r="AG61" s="699"/>
      <c r="AH61" s="699"/>
      <c r="AI61" s="699"/>
      <c r="AL61" s="113"/>
      <c r="AN61" s="133"/>
      <c r="AO61" s="112"/>
      <c r="AP61" s="133"/>
      <c r="AQ61" s="112"/>
      <c r="AR61" s="133"/>
    </row>
    <row r="62" spans="1:46" s="136" customFormat="1" x14ac:dyDescent="0.2">
      <c r="A62" s="147" t="s">
        <v>104</v>
      </c>
      <c r="B62" s="695">
        <f>'gadu šķirošana'!C56</f>
        <v>0</v>
      </c>
      <c r="C62" s="695">
        <f>'gadu šķirošana'!D56+B62</f>
        <v>0</v>
      </c>
      <c r="D62" s="695">
        <f>'gadu šķirošana'!E56+C62</f>
        <v>0</v>
      </c>
      <c r="E62" s="695">
        <f>'gadu šķirošana'!F56+D62</f>
        <v>0</v>
      </c>
      <c r="F62" s="695">
        <f>'gadu šķirošana'!G56+E62</f>
        <v>0</v>
      </c>
      <c r="G62" s="695">
        <f>'gadu šķirošana'!H56+F62</f>
        <v>0</v>
      </c>
      <c r="H62" s="695">
        <f>'gadu šķirošana'!I56+G62</f>
        <v>0</v>
      </c>
      <c r="I62" s="695">
        <f>'gadu šķirošana'!J56+H62</f>
        <v>0</v>
      </c>
      <c r="J62" s="695">
        <f>'gadu šķirošana'!K56+I62</f>
        <v>0</v>
      </c>
      <c r="K62" s="695">
        <f>'gadu šķirošana'!L56+J62</f>
        <v>0</v>
      </c>
      <c r="L62" s="695">
        <f>'gadu šķirošana'!M56+K62</f>
        <v>0</v>
      </c>
      <c r="M62" s="695">
        <f>'gadu šķirošana'!N56+L62</f>
        <v>0</v>
      </c>
      <c r="N62" s="695">
        <f>'gadu šķirošana'!O56+M62</f>
        <v>0</v>
      </c>
      <c r="O62" s="695">
        <f>'gadu šķirošana'!P56+N62</f>
        <v>0</v>
      </c>
      <c r="P62" s="695">
        <f>'gadu šķirošana'!Q56+O62</f>
        <v>0</v>
      </c>
      <c r="Q62" s="695">
        <f>'gadu šķirošana'!R56+P62</f>
        <v>0</v>
      </c>
      <c r="R62" s="695">
        <f>'gadu šķirošana'!S56+Q62</f>
        <v>0</v>
      </c>
      <c r="S62" s="695">
        <f>'gadu šķirošana'!T56+R62</f>
        <v>0</v>
      </c>
      <c r="T62" s="695">
        <f>'gadu šķirošana'!U56+S62</f>
        <v>0</v>
      </c>
      <c r="U62" s="695">
        <f>'gadu šķirošana'!V56+T62</f>
        <v>0</v>
      </c>
      <c r="V62" s="695">
        <f>'gadu šķirošana'!W56+U62</f>
        <v>0</v>
      </c>
      <c r="W62" s="695">
        <f>'gadu šķirošana'!X56+V62</f>
        <v>0</v>
      </c>
      <c r="X62" s="695">
        <f>'gadu šķirošana'!Y56+W62</f>
        <v>0</v>
      </c>
      <c r="Y62" s="695">
        <f>'gadu šķirošana'!Z56+X62</f>
        <v>0</v>
      </c>
      <c r="Z62" s="695">
        <f>'gadu šķirošana'!AA56+Y62</f>
        <v>0</v>
      </c>
      <c r="AA62" s="695">
        <f>'gadu šķirošana'!AB56+Z62</f>
        <v>0</v>
      </c>
      <c r="AB62" s="695">
        <f>'gadu šķirošana'!AC56+AA62</f>
        <v>0</v>
      </c>
      <c r="AC62" s="695">
        <f>'gadu šķirošana'!AD56+AB62</f>
        <v>0</v>
      </c>
      <c r="AD62" s="695">
        <f>'gadu šķirošana'!AE56+AC62</f>
        <v>0</v>
      </c>
      <c r="AE62" s="695">
        <f>'gadu šķirošana'!AF56+AD62</f>
        <v>0</v>
      </c>
      <c r="AF62" s="695">
        <f>'gadu šķirošana'!AG56+AE62</f>
        <v>0</v>
      </c>
      <c r="AG62" s="695">
        <f>'gadu šķirošana'!AH56+AF62</f>
        <v>0</v>
      </c>
      <c r="AH62" s="695">
        <f>'gadu šķirošana'!AI56+AG62</f>
        <v>0</v>
      </c>
      <c r="AI62" s="695">
        <f>'gadu šķirošana'!AJ56+AH62</f>
        <v>0</v>
      </c>
      <c r="AL62" s="113"/>
      <c r="AN62" s="133"/>
      <c r="AO62" s="112"/>
      <c r="AP62" s="133"/>
      <c r="AQ62" s="112"/>
      <c r="AR62" s="133"/>
    </row>
    <row r="63" spans="1:46" s="136" customFormat="1" x14ac:dyDescent="0.2">
      <c r="A63" s="147" t="s">
        <v>105</v>
      </c>
      <c r="B63" s="35">
        <f>1/'Kopējie pieņēmumi'!$B$28</f>
        <v>0.1</v>
      </c>
      <c r="C63" s="14">
        <f>B63</f>
        <v>0.1</v>
      </c>
      <c r="D63" s="14">
        <f t="shared" ref="D63" si="426">C63</f>
        <v>0.1</v>
      </c>
      <c r="E63" s="14">
        <f t="shared" ref="E63" si="427">D63</f>
        <v>0.1</v>
      </c>
      <c r="F63" s="14">
        <f t="shared" ref="F63" si="428">E63</f>
        <v>0.1</v>
      </c>
      <c r="G63" s="14">
        <f t="shared" ref="G63" si="429">F63</f>
        <v>0.1</v>
      </c>
      <c r="H63" s="14">
        <f t="shared" ref="H63" si="430">G63</f>
        <v>0.1</v>
      </c>
      <c r="I63" s="14">
        <f t="shared" ref="I63" si="431">H63</f>
        <v>0.1</v>
      </c>
      <c r="J63" s="14">
        <f t="shared" ref="J63" si="432">I63</f>
        <v>0.1</v>
      </c>
      <c r="K63" s="14">
        <f t="shared" ref="K63" si="433">J63</f>
        <v>0.1</v>
      </c>
      <c r="L63" s="14">
        <f t="shared" ref="L63" si="434">K63</f>
        <v>0.1</v>
      </c>
      <c r="M63" s="14">
        <f t="shared" ref="M63" si="435">L63</f>
        <v>0.1</v>
      </c>
      <c r="N63" s="14">
        <f t="shared" ref="N63" si="436">M63</f>
        <v>0.1</v>
      </c>
      <c r="O63" s="14">
        <f t="shared" ref="O63" si="437">N63</f>
        <v>0.1</v>
      </c>
      <c r="P63" s="14">
        <f t="shared" ref="P63" si="438">O63</f>
        <v>0.1</v>
      </c>
      <c r="Q63" s="14">
        <f t="shared" ref="Q63" si="439">P63</f>
        <v>0.1</v>
      </c>
      <c r="R63" s="14">
        <f t="shared" ref="R63" si="440">Q63</f>
        <v>0.1</v>
      </c>
      <c r="S63" s="14">
        <f t="shared" ref="S63" si="441">R63</f>
        <v>0.1</v>
      </c>
      <c r="T63" s="14">
        <f t="shared" ref="T63" si="442">S63</f>
        <v>0.1</v>
      </c>
      <c r="U63" s="14">
        <f t="shared" ref="U63" si="443">T63</f>
        <v>0.1</v>
      </c>
      <c r="V63" s="14">
        <f t="shared" ref="V63" si="444">U63</f>
        <v>0.1</v>
      </c>
      <c r="W63" s="14">
        <f t="shared" ref="W63" si="445">V63</f>
        <v>0.1</v>
      </c>
      <c r="X63" s="14">
        <f t="shared" ref="X63" si="446">W63</f>
        <v>0.1</v>
      </c>
      <c r="Y63" s="14">
        <f t="shared" ref="Y63" si="447">X63</f>
        <v>0.1</v>
      </c>
      <c r="Z63" s="14">
        <f t="shared" ref="Z63" si="448">Y63</f>
        <v>0.1</v>
      </c>
      <c r="AA63" s="14">
        <f t="shared" ref="AA63" si="449">Z63</f>
        <v>0.1</v>
      </c>
      <c r="AB63" s="14">
        <f t="shared" ref="AB63" si="450">AA63</f>
        <v>0.1</v>
      </c>
      <c r="AC63" s="14">
        <f t="shared" ref="AC63" si="451">AB63</f>
        <v>0.1</v>
      </c>
      <c r="AD63" s="14">
        <f t="shared" ref="AD63" si="452">AC63</f>
        <v>0.1</v>
      </c>
      <c r="AE63" s="14">
        <f t="shared" ref="AE63" si="453">AD63</f>
        <v>0.1</v>
      </c>
      <c r="AF63" s="14">
        <f t="shared" ref="AF63" si="454">AE63</f>
        <v>0.1</v>
      </c>
      <c r="AG63" s="14">
        <f t="shared" ref="AG63" si="455">AF63</f>
        <v>0.1</v>
      </c>
      <c r="AH63" s="14">
        <f t="shared" ref="AH63" si="456">AG63</f>
        <v>0.1</v>
      </c>
      <c r="AI63" s="14">
        <f>AH63</f>
        <v>0.1</v>
      </c>
      <c r="AL63" s="113"/>
      <c r="AN63" s="133"/>
      <c r="AO63" s="112"/>
      <c r="AP63" s="133"/>
      <c r="AQ63" s="112"/>
      <c r="AR63" s="133"/>
    </row>
    <row r="64" spans="1:46" s="136" customFormat="1" x14ac:dyDescent="0.2">
      <c r="A64" s="147" t="s">
        <v>106</v>
      </c>
      <c r="B64" s="697">
        <v>0</v>
      </c>
      <c r="C64" s="694">
        <f t="shared" ref="C64" si="457">IF(B66&gt;0,IF(C62-B62&gt;0,0,C63*C62),0)</f>
        <v>0</v>
      </c>
      <c r="D64" s="694">
        <f t="shared" ref="D64" si="458">IF(C66&gt;0,IF(D62-C62&gt;0,0,D63*D62),0)</f>
        <v>0</v>
      </c>
      <c r="E64" s="694">
        <f t="shared" ref="E64" si="459">IF(D66&gt;0,IF(E62-D62&gt;0,0,E63*E62),0)</f>
        <v>0</v>
      </c>
      <c r="F64" s="694">
        <f t="shared" ref="F64" si="460">IF(E66&gt;0,IF(F62-E62&gt;0,0,F63*F62),0)</f>
        <v>0</v>
      </c>
      <c r="G64" s="694">
        <f t="shared" ref="G64" si="461">IF(F66&gt;0,IF(G62-F62&gt;0,0,G63*G62),0)</f>
        <v>0</v>
      </c>
      <c r="H64" s="694">
        <f t="shared" ref="H64" si="462">IF(G66&gt;0,IF(H62-G62&gt;0,0,H63*H62),0)</f>
        <v>0</v>
      </c>
      <c r="I64" s="694">
        <f t="shared" ref="I64" si="463">IF(H66&gt;0,IF(I62-H62&gt;0,0,I63*I62),0)</f>
        <v>0</v>
      </c>
      <c r="J64" s="694">
        <f t="shared" ref="J64" si="464">IF(I66&gt;0,IF(J62-I62&gt;0,0,J63*J62),0)</f>
        <v>0</v>
      </c>
      <c r="K64" s="694">
        <f t="shared" ref="K64" si="465">IF(J66&gt;0,IF(K62-J62&gt;0,0,K63*K62),0)</f>
        <v>0</v>
      </c>
      <c r="L64" s="694">
        <f t="shared" ref="L64" si="466">IF(K66&gt;0,IF(L62-K62&gt;0,0,L63*L62),0)</f>
        <v>0</v>
      </c>
      <c r="M64" s="694">
        <f t="shared" ref="M64" si="467">IF(L66&gt;0,IF(M62-L62&gt;0,0,M63*M62),0)</f>
        <v>0</v>
      </c>
      <c r="N64" s="694">
        <f t="shared" ref="N64" si="468">IF(M66&gt;0,IF(N62-M62&gt;0,0,N63*N62),0)</f>
        <v>0</v>
      </c>
      <c r="O64" s="694">
        <f t="shared" ref="O64" si="469">IF(N66&gt;0,IF(O62-N62&gt;0,0,O63*O62),0)</f>
        <v>0</v>
      </c>
      <c r="P64" s="694">
        <f t="shared" ref="P64" si="470">IF(O66&gt;0,IF(P62-O62&gt;0,0,P63*P62),0)</f>
        <v>0</v>
      </c>
      <c r="Q64" s="694">
        <f t="shared" ref="Q64" si="471">IF(P66&gt;0,IF(Q62-P62&gt;0,0,Q63*Q62),0)</f>
        <v>0</v>
      </c>
      <c r="R64" s="694">
        <f t="shared" ref="R64" si="472">IF(Q66&gt;0,IF(R62-Q62&gt;0,0,R63*R62),0)</f>
        <v>0</v>
      </c>
      <c r="S64" s="694">
        <f t="shared" ref="S64" si="473">IF(R66&gt;0,IF(S62-R62&gt;0,0,S63*S62),0)</f>
        <v>0</v>
      </c>
      <c r="T64" s="694">
        <f t="shared" ref="T64" si="474">IF(S66&gt;0,IF(T62-S62&gt;0,0,T63*T62),0)</f>
        <v>0</v>
      </c>
      <c r="U64" s="694">
        <f t="shared" ref="U64" si="475">IF(T66&gt;0,IF(U62-T62&gt;0,0,U63*U62),0)</f>
        <v>0</v>
      </c>
      <c r="V64" s="694">
        <f t="shared" ref="V64" si="476">IF(U66&gt;0,IF(V62-U62&gt;0,0,V63*V62),0)</f>
        <v>0</v>
      </c>
      <c r="W64" s="694">
        <f t="shared" ref="W64" si="477">IF(V66&gt;0,IF(W62-V62&gt;0,0,W63*W62),0)</f>
        <v>0</v>
      </c>
      <c r="X64" s="694">
        <f t="shared" ref="X64" si="478">IF(W66&gt;0,IF(X62-W62&gt;0,0,X63*X62),0)</f>
        <v>0</v>
      </c>
      <c r="Y64" s="694">
        <f t="shared" ref="Y64" si="479">IF(X66&gt;0,IF(Y62-X62&gt;0,0,Y63*Y62),0)</f>
        <v>0</v>
      </c>
      <c r="Z64" s="694">
        <f t="shared" ref="Z64" si="480">IF(Y66&gt;0,IF(Z62-Y62&gt;0,0,Z63*Z62),0)</f>
        <v>0</v>
      </c>
      <c r="AA64" s="694">
        <f t="shared" ref="AA64" si="481">IF(Z66&gt;0,IF(AA62-Z62&gt;0,0,AA63*AA62),0)</f>
        <v>0</v>
      </c>
      <c r="AB64" s="694">
        <f t="shared" ref="AB64" si="482">IF(AA66&gt;0,IF(AB62-AA62&gt;0,0,AB63*AB62),0)</f>
        <v>0</v>
      </c>
      <c r="AC64" s="694">
        <f t="shared" ref="AC64" si="483">IF(AB66&gt;0,IF(AC62-AB62&gt;0,0,AC63*AC62),0)</f>
        <v>0</v>
      </c>
      <c r="AD64" s="694">
        <f t="shared" ref="AD64" si="484">IF(AC66&gt;0,IF(AD62-AC62&gt;0,0,AD63*AD62),0)</f>
        <v>0</v>
      </c>
      <c r="AE64" s="694">
        <f t="shared" ref="AE64" si="485">IF(AD66&gt;0,IF(AE62-AD62&gt;0,0,AE63*AE62),0)</f>
        <v>0</v>
      </c>
      <c r="AF64" s="694">
        <f t="shared" ref="AF64" si="486">IF(AE66&gt;0,IF(AF62-AE62&gt;0,0,AF63*AF62),0)</f>
        <v>0</v>
      </c>
      <c r="AG64" s="694">
        <f t="shared" ref="AG64" si="487">IF(AF66&gt;0,IF(AG62-AF62&gt;0,0,AG63*AG62),0)</f>
        <v>0</v>
      </c>
      <c r="AH64" s="694">
        <f>IF(AG66&gt;0,IF(AH62-AG62&gt;0,0,AH63*AH62),0)</f>
        <v>0</v>
      </c>
      <c r="AI64" s="694">
        <f>IF(AH66&gt;0,IF(AI62-AH62&gt;0,0,AI63*AI62),0)</f>
        <v>0</v>
      </c>
      <c r="AL64" s="113"/>
      <c r="AN64" s="133"/>
      <c r="AO64" s="112"/>
      <c r="AP64" s="133"/>
      <c r="AQ64" s="112"/>
      <c r="AR64" s="133"/>
    </row>
    <row r="65" spans="1:46" s="136" customFormat="1" x14ac:dyDescent="0.2">
      <c r="A65" s="147" t="s">
        <v>107</v>
      </c>
      <c r="B65" s="695">
        <f>B64</f>
        <v>0</v>
      </c>
      <c r="C65" s="694">
        <f t="shared" ref="C65" si="488">C64+B65</f>
        <v>0</v>
      </c>
      <c r="D65" s="694">
        <f t="shared" ref="D65" si="489">D64+C65</f>
        <v>0</v>
      </c>
      <c r="E65" s="694">
        <f t="shared" ref="E65" si="490">E64+D65</f>
        <v>0</v>
      </c>
      <c r="F65" s="694">
        <f t="shared" ref="F65" si="491">F64+E65</f>
        <v>0</v>
      </c>
      <c r="G65" s="694">
        <f t="shared" ref="G65" si="492">G64+F65</f>
        <v>0</v>
      </c>
      <c r="H65" s="694">
        <f t="shared" ref="H65" si="493">H64+G65</f>
        <v>0</v>
      </c>
      <c r="I65" s="694">
        <f t="shared" ref="I65" si="494">I64+H65</f>
        <v>0</v>
      </c>
      <c r="J65" s="694">
        <f t="shared" ref="J65" si="495">J64+I65</f>
        <v>0</v>
      </c>
      <c r="K65" s="694">
        <f t="shared" ref="K65" si="496">K64+J65</f>
        <v>0</v>
      </c>
      <c r="L65" s="694">
        <f t="shared" ref="L65" si="497">L64+K65</f>
        <v>0</v>
      </c>
      <c r="M65" s="694">
        <f t="shared" ref="M65" si="498">M64+L65</f>
        <v>0</v>
      </c>
      <c r="N65" s="694">
        <f t="shared" ref="N65" si="499">N64+M65</f>
        <v>0</v>
      </c>
      <c r="O65" s="694">
        <f t="shared" ref="O65" si="500">O64+N65</f>
        <v>0</v>
      </c>
      <c r="P65" s="694">
        <f t="shared" ref="P65" si="501">P64+O65</f>
        <v>0</v>
      </c>
      <c r="Q65" s="694">
        <f t="shared" ref="Q65" si="502">Q64+P65</f>
        <v>0</v>
      </c>
      <c r="R65" s="694">
        <f t="shared" ref="R65" si="503">R64+Q65</f>
        <v>0</v>
      </c>
      <c r="S65" s="694">
        <f t="shared" ref="S65" si="504">S64+R65</f>
        <v>0</v>
      </c>
      <c r="T65" s="694">
        <f t="shared" ref="T65" si="505">T64+S65</f>
        <v>0</v>
      </c>
      <c r="U65" s="694">
        <f t="shared" ref="U65" si="506">U64+T65</f>
        <v>0</v>
      </c>
      <c r="V65" s="694">
        <f t="shared" ref="V65" si="507">V64+U65</f>
        <v>0</v>
      </c>
      <c r="W65" s="694">
        <f t="shared" ref="W65" si="508">W64+V65</f>
        <v>0</v>
      </c>
      <c r="X65" s="694">
        <f t="shared" ref="X65" si="509">X64+W65</f>
        <v>0</v>
      </c>
      <c r="Y65" s="694">
        <f t="shared" ref="Y65" si="510">Y64+X65</f>
        <v>0</v>
      </c>
      <c r="Z65" s="694">
        <f t="shared" ref="Z65" si="511">Z64+Y65</f>
        <v>0</v>
      </c>
      <c r="AA65" s="694">
        <f t="shared" ref="AA65" si="512">AA64+Z65</f>
        <v>0</v>
      </c>
      <c r="AB65" s="694">
        <f t="shared" ref="AB65" si="513">AB64+AA65</f>
        <v>0</v>
      </c>
      <c r="AC65" s="694">
        <f t="shared" ref="AC65" si="514">AC64+AB65</f>
        <v>0</v>
      </c>
      <c r="AD65" s="694">
        <f t="shared" ref="AD65" si="515">AD64+AC65</f>
        <v>0</v>
      </c>
      <c r="AE65" s="694">
        <f t="shared" ref="AE65" si="516">AE64+AD65</f>
        <v>0</v>
      </c>
      <c r="AF65" s="694">
        <f t="shared" ref="AF65" si="517">AF64+AE65</f>
        <v>0</v>
      </c>
      <c r="AG65" s="694">
        <f t="shared" ref="AG65" si="518">AG64+AF65</f>
        <v>0</v>
      </c>
      <c r="AH65" s="694">
        <f>AH64+AG65</f>
        <v>0</v>
      </c>
      <c r="AI65" s="694">
        <f>AI64+AH65</f>
        <v>0</v>
      </c>
      <c r="AL65" s="113"/>
      <c r="AN65" s="133"/>
      <c r="AO65" s="112"/>
      <c r="AP65" s="133"/>
      <c r="AQ65" s="112"/>
      <c r="AR65" s="133"/>
    </row>
    <row r="66" spans="1:46" s="136" customFormat="1" x14ac:dyDescent="0.2">
      <c r="A66" s="147" t="s">
        <v>108</v>
      </c>
      <c r="B66" s="695">
        <f>ROUND(IF(B62-B65&gt;0,B62-B65,0),0)</f>
        <v>0</v>
      </c>
      <c r="C66" s="694">
        <f>ROUND(IF(C62-C65&gt;0,C62-C65,0),4)</f>
        <v>0</v>
      </c>
      <c r="D66" s="694">
        <f t="shared" ref="D66:AH66" si="519">ROUND(IF(D62-D65&gt;0,D62-D65,0),4)</f>
        <v>0</v>
      </c>
      <c r="E66" s="694">
        <f t="shared" si="519"/>
        <v>0</v>
      </c>
      <c r="F66" s="694">
        <f t="shared" si="519"/>
        <v>0</v>
      </c>
      <c r="G66" s="694">
        <f t="shared" si="519"/>
        <v>0</v>
      </c>
      <c r="H66" s="694">
        <f t="shared" si="519"/>
        <v>0</v>
      </c>
      <c r="I66" s="694">
        <f t="shared" si="519"/>
        <v>0</v>
      </c>
      <c r="J66" s="694">
        <f t="shared" si="519"/>
        <v>0</v>
      </c>
      <c r="K66" s="694">
        <f t="shared" si="519"/>
        <v>0</v>
      </c>
      <c r="L66" s="694">
        <f t="shared" si="519"/>
        <v>0</v>
      </c>
      <c r="M66" s="694">
        <f t="shared" si="519"/>
        <v>0</v>
      </c>
      <c r="N66" s="694">
        <f t="shared" si="519"/>
        <v>0</v>
      </c>
      <c r="O66" s="694">
        <f t="shared" si="519"/>
        <v>0</v>
      </c>
      <c r="P66" s="694">
        <f t="shared" si="519"/>
        <v>0</v>
      </c>
      <c r="Q66" s="694">
        <f t="shared" si="519"/>
        <v>0</v>
      </c>
      <c r="R66" s="694">
        <f t="shared" si="519"/>
        <v>0</v>
      </c>
      <c r="S66" s="694">
        <f t="shared" si="519"/>
        <v>0</v>
      </c>
      <c r="T66" s="694">
        <f t="shared" si="519"/>
        <v>0</v>
      </c>
      <c r="U66" s="694">
        <f t="shared" si="519"/>
        <v>0</v>
      </c>
      <c r="V66" s="694">
        <f t="shared" si="519"/>
        <v>0</v>
      </c>
      <c r="W66" s="694">
        <f t="shared" si="519"/>
        <v>0</v>
      </c>
      <c r="X66" s="694">
        <f t="shared" si="519"/>
        <v>0</v>
      </c>
      <c r="Y66" s="694">
        <f t="shared" si="519"/>
        <v>0</v>
      </c>
      <c r="Z66" s="694">
        <f t="shared" si="519"/>
        <v>0</v>
      </c>
      <c r="AA66" s="694">
        <f t="shared" si="519"/>
        <v>0</v>
      </c>
      <c r="AB66" s="694">
        <f t="shared" si="519"/>
        <v>0</v>
      </c>
      <c r="AC66" s="694">
        <f t="shared" si="519"/>
        <v>0</v>
      </c>
      <c r="AD66" s="694">
        <f t="shared" si="519"/>
        <v>0</v>
      </c>
      <c r="AE66" s="694">
        <f t="shared" si="519"/>
        <v>0</v>
      </c>
      <c r="AF66" s="694">
        <f t="shared" si="519"/>
        <v>0</v>
      </c>
      <c r="AG66" s="694">
        <f t="shared" si="519"/>
        <v>0</v>
      </c>
      <c r="AH66" s="694">
        <f t="shared" si="519"/>
        <v>0</v>
      </c>
      <c r="AI66" s="694">
        <f>ROUND(IF(AI62-AI65&gt;0,AI62-AI65,0),4)</f>
        <v>0</v>
      </c>
      <c r="AL66" s="113"/>
      <c r="AN66" s="133"/>
      <c r="AO66" s="112"/>
      <c r="AP66" s="133"/>
      <c r="AQ66" s="112"/>
      <c r="AR66" s="133"/>
    </row>
    <row r="67" spans="1:46" s="136" customFormat="1" x14ac:dyDescent="0.2">
      <c r="A67" s="146" t="s">
        <v>10</v>
      </c>
      <c r="B67" s="698"/>
      <c r="C67" s="699"/>
      <c r="D67" s="699"/>
      <c r="E67" s="699"/>
      <c r="F67" s="699"/>
      <c r="G67" s="699"/>
      <c r="H67" s="699"/>
      <c r="I67" s="699"/>
      <c r="J67" s="699"/>
      <c r="K67" s="699"/>
      <c r="L67" s="699"/>
      <c r="M67" s="699"/>
      <c r="N67" s="699"/>
      <c r="O67" s="699"/>
      <c r="P67" s="699"/>
      <c r="Q67" s="699"/>
      <c r="R67" s="699"/>
      <c r="S67" s="699"/>
      <c r="T67" s="699"/>
      <c r="U67" s="699"/>
      <c r="V67" s="699"/>
      <c r="W67" s="699"/>
      <c r="X67" s="699"/>
      <c r="Y67" s="699"/>
      <c r="Z67" s="699"/>
      <c r="AA67" s="699"/>
      <c r="AB67" s="699"/>
      <c r="AC67" s="699"/>
      <c r="AD67" s="699"/>
      <c r="AE67" s="699"/>
      <c r="AF67" s="699"/>
      <c r="AG67" s="699"/>
      <c r="AH67" s="699"/>
      <c r="AI67" s="699"/>
      <c r="AL67" s="113"/>
      <c r="AN67" s="133"/>
      <c r="AO67" s="112"/>
      <c r="AP67" s="133"/>
      <c r="AQ67" s="112"/>
      <c r="AR67" s="133"/>
    </row>
    <row r="68" spans="1:46" s="136" customFormat="1" x14ac:dyDescent="0.2">
      <c r="A68" s="147" t="s">
        <v>104</v>
      </c>
      <c r="B68" s="695">
        <f>'gadu šķirošana'!C57</f>
        <v>0</v>
      </c>
      <c r="C68" s="695">
        <f>'gadu šķirošana'!D57+B68</f>
        <v>0</v>
      </c>
      <c r="D68" s="695">
        <f>'gadu šķirošana'!E57+C68</f>
        <v>0</v>
      </c>
      <c r="E68" s="695">
        <f>'gadu šķirošana'!F57+D68</f>
        <v>0</v>
      </c>
      <c r="F68" s="695">
        <f>'gadu šķirošana'!G57+E68</f>
        <v>0</v>
      </c>
      <c r="G68" s="695">
        <f>'gadu šķirošana'!H57+F68</f>
        <v>0</v>
      </c>
      <c r="H68" s="695">
        <f>'gadu šķirošana'!I57+G68</f>
        <v>0</v>
      </c>
      <c r="I68" s="695">
        <f>'gadu šķirošana'!J57+H68</f>
        <v>0</v>
      </c>
      <c r="J68" s="695">
        <f>'gadu šķirošana'!K57+I68</f>
        <v>0</v>
      </c>
      <c r="K68" s="695">
        <f>'gadu šķirošana'!L57+J68</f>
        <v>0</v>
      </c>
      <c r="L68" s="695">
        <f>'gadu šķirošana'!M57+K68</f>
        <v>0</v>
      </c>
      <c r="M68" s="695">
        <f>'gadu šķirošana'!N57+L68</f>
        <v>0</v>
      </c>
      <c r="N68" s="695">
        <f>'gadu šķirošana'!O57+M68</f>
        <v>0</v>
      </c>
      <c r="O68" s="695">
        <f>'gadu šķirošana'!P57+N68</f>
        <v>0</v>
      </c>
      <c r="P68" s="695">
        <f>'gadu šķirošana'!Q57+O68</f>
        <v>0</v>
      </c>
      <c r="Q68" s="695">
        <f>'gadu šķirošana'!R57+P68</f>
        <v>0</v>
      </c>
      <c r="R68" s="695">
        <f>'gadu šķirošana'!S57+Q68</f>
        <v>0</v>
      </c>
      <c r="S68" s="695">
        <f>'gadu šķirošana'!T57+R68</f>
        <v>0</v>
      </c>
      <c r="T68" s="695">
        <f>'gadu šķirošana'!U57+S68</f>
        <v>0</v>
      </c>
      <c r="U68" s="695">
        <f>'gadu šķirošana'!V57+T68</f>
        <v>0</v>
      </c>
      <c r="V68" s="695">
        <f>'gadu šķirošana'!W57+U68</f>
        <v>0</v>
      </c>
      <c r="W68" s="695">
        <f>'gadu šķirošana'!X57+V68</f>
        <v>0</v>
      </c>
      <c r="X68" s="695">
        <f>'gadu šķirošana'!Y57+W68</f>
        <v>0</v>
      </c>
      <c r="Y68" s="695">
        <f>'gadu šķirošana'!Z57+X68</f>
        <v>0</v>
      </c>
      <c r="Z68" s="695">
        <f>'gadu šķirošana'!AA57+Y68</f>
        <v>0</v>
      </c>
      <c r="AA68" s="695">
        <f>'gadu šķirošana'!AB57+Z68</f>
        <v>0</v>
      </c>
      <c r="AB68" s="695">
        <f>'gadu šķirošana'!AC57+AA68</f>
        <v>0</v>
      </c>
      <c r="AC68" s="695">
        <f>'gadu šķirošana'!AD57+AB68</f>
        <v>0</v>
      </c>
      <c r="AD68" s="695">
        <f>'gadu šķirošana'!AE57+AC68</f>
        <v>0</v>
      </c>
      <c r="AE68" s="695">
        <f>'gadu šķirošana'!AF57+AD68</f>
        <v>0</v>
      </c>
      <c r="AF68" s="695">
        <f>'gadu šķirošana'!AG57+AE68</f>
        <v>0</v>
      </c>
      <c r="AG68" s="695">
        <f>'gadu šķirošana'!AH57+AF68</f>
        <v>0</v>
      </c>
      <c r="AH68" s="695">
        <f>'gadu šķirošana'!AI57+AG68</f>
        <v>0</v>
      </c>
      <c r="AI68" s="695">
        <f>'gadu šķirošana'!AJ57+AH68</f>
        <v>0</v>
      </c>
      <c r="AL68" s="113"/>
      <c r="AN68" s="133"/>
      <c r="AO68" s="112"/>
      <c r="AP68" s="133"/>
      <c r="AQ68" s="112"/>
      <c r="AR68" s="133"/>
    </row>
    <row r="69" spans="1:46" s="136" customFormat="1" x14ac:dyDescent="0.2">
      <c r="A69" s="147" t="s">
        <v>105</v>
      </c>
      <c r="B69" s="35">
        <f>1/'Kopējie pieņēmumi'!$B$29</f>
        <v>0.1</v>
      </c>
      <c r="C69" s="14">
        <f>B69</f>
        <v>0.1</v>
      </c>
      <c r="D69" s="14">
        <f t="shared" ref="D69" si="520">C69</f>
        <v>0.1</v>
      </c>
      <c r="E69" s="14">
        <f t="shared" ref="E69" si="521">D69</f>
        <v>0.1</v>
      </c>
      <c r="F69" s="14">
        <f t="shared" ref="F69" si="522">E69</f>
        <v>0.1</v>
      </c>
      <c r="G69" s="14">
        <f t="shared" ref="G69" si="523">F69</f>
        <v>0.1</v>
      </c>
      <c r="H69" s="14">
        <f t="shared" ref="H69" si="524">G69</f>
        <v>0.1</v>
      </c>
      <c r="I69" s="14">
        <f t="shared" ref="I69" si="525">H69</f>
        <v>0.1</v>
      </c>
      <c r="J69" s="14">
        <f t="shared" ref="J69" si="526">I69</f>
        <v>0.1</v>
      </c>
      <c r="K69" s="14">
        <f t="shared" ref="K69" si="527">J69</f>
        <v>0.1</v>
      </c>
      <c r="L69" s="14">
        <f t="shared" ref="L69" si="528">K69</f>
        <v>0.1</v>
      </c>
      <c r="M69" s="14">
        <f t="shared" ref="M69" si="529">L69</f>
        <v>0.1</v>
      </c>
      <c r="N69" s="14">
        <f t="shared" ref="N69" si="530">M69</f>
        <v>0.1</v>
      </c>
      <c r="O69" s="14">
        <f t="shared" ref="O69" si="531">N69</f>
        <v>0.1</v>
      </c>
      <c r="P69" s="14">
        <f t="shared" ref="P69" si="532">O69</f>
        <v>0.1</v>
      </c>
      <c r="Q69" s="14">
        <f t="shared" ref="Q69" si="533">P69</f>
        <v>0.1</v>
      </c>
      <c r="R69" s="14">
        <f t="shared" ref="R69" si="534">Q69</f>
        <v>0.1</v>
      </c>
      <c r="S69" s="14">
        <f t="shared" ref="S69" si="535">R69</f>
        <v>0.1</v>
      </c>
      <c r="T69" s="14">
        <f t="shared" ref="T69" si="536">S69</f>
        <v>0.1</v>
      </c>
      <c r="U69" s="14">
        <f t="shared" ref="U69" si="537">T69</f>
        <v>0.1</v>
      </c>
      <c r="V69" s="14">
        <f t="shared" ref="V69" si="538">U69</f>
        <v>0.1</v>
      </c>
      <c r="W69" s="14">
        <f t="shared" ref="W69" si="539">V69</f>
        <v>0.1</v>
      </c>
      <c r="X69" s="14">
        <f t="shared" ref="X69" si="540">W69</f>
        <v>0.1</v>
      </c>
      <c r="Y69" s="14">
        <f t="shared" ref="Y69" si="541">X69</f>
        <v>0.1</v>
      </c>
      <c r="Z69" s="14">
        <f t="shared" ref="Z69" si="542">Y69</f>
        <v>0.1</v>
      </c>
      <c r="AA69" s="14">
        <f t="shared" ref="AA69" si="543">Z69</f>
        <v>0.1</v>
      </c>
      <c r="AB69" s="14">
        <f t="shared" ref="AB69" si="544">AA69</f>
        <v>0.1</v>
      </c>
      <c r="AC69" s="14">
        <f t="shared" ref="AC69" si="545">AB69</f>
        <v>0.1</v>
      </c>
      <c r="AD69" s="14">
        <f t="shared" ref="AD69" si="546">AC69</f>
        <v>0.1</v>
      </c>
      <c r="AE69" s="14">
        <f t="shared" ref="AE69" si="547">AD69</f>
        <v>0.1</v>
      </c>
      <c r="AF69" s="14">
        <f t="shared" ref="AF69" si="548">AE69</f>
        <v>0.1</v>
      </c>
      <c r="AG69" s="14">
        <f t="shared" ref="AG69" si="549">AF69</f>
        <v>0.1</v>
      </c>
      <c r="AH69" s="14">
        <f t="shared" ref="AH69" si="550">AG69</f>
        <v>0.1</v>
      </c>
      <c r="AI69" s="14">
        <f>AH69</f>
        <v>0.1</v>
      </c>
      <c r="AL69" s="113"/>
      <c r="AN69" s="133"/>
      <c r="AO69" s="112"/>
      <c r="AP69" s="133"/>
      <c r="AQ69" s="112"/>
      <c r="AR69" s="133"/>
    </row>
    <row r="70" spans="1:46" s="136" customFormat="1" x14ac:dyDescent="0.2">
      <c r="A70" s="147" t="s">
        <v>106</v>
      </c>
      <c r="B70" s="697">
        <v>0</v>
      </c>
      <c r="C70" s="694">
        <f t="shared" ref="C70" si="551">IF(B72&gt;0,IF(C68-B68&gt;0,0,C69*C68),0)</f>
        <v>0</v>
      </c>
      <c r="D70" s="694">
        <f t="shared" ref="D70" si="552">IF(C72&gt;0,IF(D68-C68&gt;0,0,D69*D68),0)</f>
        <v>0</v>
      </c>
      <c r="E70" s="694">
        <f t="shared" ref="E70" si="553">IF(D72&gt;0,IF(E68-D68&gt;0,0,E69*E68),0)</f>
        <v>0</v>
      </c>
      <c r="F70" s="694">
        <f t="shared" ref="F70" si="554">IF(E72&gt;0,IF(F68-E68&gt;0,0,F69*F68),0)</f>
        <v>0</v>
      </c>
      <c r="G70" s="694">
        <f t="shared" ref="G70" si="555">IF(F72&gt;0,IF(G68-F68&gt;0,0,G69*G68),0)</f>
        <v>0</v>
      </c>
      <c r="H70" s="694">
        <f t="shared" ref="H70" si="556">IF(G72&gt;0,IF(H68-G68&gt;0,0,H69*H68),0)</f>
        <v>0</v>
      </c>
      <c r="I70" s="694">
        <f t="shared" ref="I70" si="557">IF(H72&gt;0,IF(I68-H68&gt;0,0,I69*I68),0)</f>
        <v>0</v>
      </c>
      <c r="J70" s="694">
        <f t="shared" ref="J70" si="558">IF(I72&gt;0,IF(J68-I68&gt;0,0,J69*J68),0)</f>
        <v>0</v>
      </c>
      <c r="K70" s="694">
        <f t="shared" ref="K70" si="559">IF(J72&gt;0,IF(K68-J68&gt;0,0,K69*K68),0)</f>
        <v>0</v>
      </c>
      <c r="L70" s="694">
        <f t="shared" ref="L70" si="560">IF(K72&gt;0,IF(L68-K68&gt;0,0,L69*L68),0)</f>
        <v>0</v>
      </c>
      <c r="M70" s="694">
        <f t="shared" ref="M70" si="561">IF(L72&gt;0,IF(M68-L68&gt;0,0,M69*M68),0)</f>
        <v>0</v>
      </c>
      <c r="N70" s="694">
        <f t="shared" ref="N70" si="562">IF(M72&gt;0,IF(N68-M68&gt;0,0,N69*N68),0)</f>
        <v>0</v>
      </c>
      <c r="O70" s="694">
        <f t="shared" ref="O70" si="563">IF(N72&gt;0,IF(O68-N68&gt;0,0,O69*O68),0)</f>
        <v>0</v>
      </c>
      <c r="P70" s="694">
        <f t="shared" ref="P70" si="564">IF(O72&gt;0,IF(P68-O68&gt;0,0,P69*P68),0)</f>
        <v>0</v>
      </c>
      <c r="Q70" s="694">
        <f t="shared" ref="Q70" si="565">IF(P72&gt;0,IF(Q68-P68&gt;0,0,Q69*Q68),0)</f>
        <v>0</v>
      </c>
      <c r="R70" s="694">
        <f t="shared" ref="R70" si="566">IF(Q72&gt;0,IF(R68-Q68&gt;0,0,R69*R68),0)</f>
        <v>0</v>
      </c>
      <c r="S70" s="694">
        <f t="shared" ref="S70" si="567">IF(R72&gt;0,IF(S68-R68&gt;0,0,S69*S68),0)</f>
        <v>0</v>
      </c>
      <c r="T70" s="694">
        <f t="shared" ref="T70" si="568">IF(S72&gt;0,IF(T68-S68&gt;0,0,T69*T68),0)</f>
        <v>0</v>
      </c>
      <c r="U70" s="694">
        <f t="shared" ref="U70" si="569">IF(T72&gt;0,IF(U68-T68&gt;0,0,U69*U68),0)</f>
        <v>0</v>
      </c>
      <c r="V70" s="694">
        <f t="shared" ref="V70" si="570">IF(U72&gt;0,IF(V68-U68&gt;0,0,V69*V68),0)</f>
        <v>0</v>
      </c>
      <c r="W70" s="694">
        <f t="shared" ref="W70" si="571">IF(V72&gt;0,IF(W68-V68&gt;0,0,W69*W68),0)</f>
        <v>0</v>
      </c>
      <c r="X70" s="694">
        <f t="shared" ref="X70" si="572">IF(W72&gt;0,IF(X68-W68&gt;0,0,X69*X68),0)</f>
        <v>0</v>
      </c>
      <c r="Y70" s="694">
        <f t="shared" ref="Y70" si="573">IF(X72&gt;0,IF(Y68-X68&gt;0,0,Y69*Y68),0)</f>
        <v>0</v>
      </c>
      <c r="Z70" s="694">
        <f t="shared" ref="Z70" si="574">IF(Y72&gt;0,IF(Z68-Y68&gt;0,0,Z69*Z68),0)</f>
        <v>0</v>
      </c>
      <c r="AA70" s="694">
        <f t="shared" ref="AA70" si="575">IF(Z72&gt;0,IF(AA68-Z68&gt;0,0,AA69*AA68),0)</f>
        <v>0</v>
      </c>
      <c r="AB70" s="694">
        <f t="shared" ref="AB70" si="576">IF(AA72&gt;0,IF(AB68-AA68&gt;0,0,AB69*AB68),0)</f>
        <v>0</v>
      </c>
      <c r="AC70" s="694">
        <f t="shared" ref="AC70" si="577">IF(AB72&gt;0,IF(AC68-AB68&gt;0,0,AC69*AC68),0)</f>
        <v>0</v>
      </c>
      <c r="AD70" s="694">
        <f t="shared" ref="AD70" si="578">IF(AC72&gt;0,IF(AD68-AC68&gt;0,0,AD69*AD68),0)</f>
        <v>0</v>
      </c>
      <c r="AE70" s="694">
        <f t="shared" ref="AE70" si="579">IF(AD72&gt;0,IF(AE68-AD68&gt;0,0,AE69*AE68),0)</f>
        <v>0</v>
      </c>
      <c r="AF70" s="694">
        <f t="shared" ref="AF70" si="580">IF(AE72&gt;0,IF(AF68-AE68&gt;0,0,AF69*AF68),0)</f>
        <v>0</v>
      </c>
      <c r="AG70" s="694">
        <f t="shared" ref="AG70" si="581">IF(AF72&gt;0,IF(AG68-AF68&gt;0,0,AG69*AG68),0)</f>
        <v>0</v>
      </c>
      <c r="AH70" s="694">
        <f>IF(AG72&gt;0,IF(AH68-AG68&gt;0,0,AH69*AH68),0)</f>
        <v>0</v>
      </c>
      <c r="AI70" s="694">
        <f>IF(AH72&gt;0,IF(AI68-AH68&gt;0,0,AI69*AI68),0)</f>
        <v>0</v>
      </c>
      <c r="AL70" s="113"/>
      <c r="AN70" s="133"/>
      <c r="AO70" s="112"/>
      <c r="AP70" s="133"/>
      <c r="AQ70" s="112"/>
      <c r="AR70" s="133"/>
    </row>
    <row r="71" spans="1:46" s="136" customFormat="1" x14ac:dyDescent="0.2">
      <c r="A71" s="147" t="s">
        <v>107</v>
      </c>
      <c r="B71" s="695">
        <f>B70</f>
        <v>0</v>
      </c>
      <c r="C71" s="694">
        <f t="shared" ref="C71" si="582">C70+B71</f>
        <v>0</v>
      </c>
      <c r="D71" s="694">
        <f t="shared" ref="D71" si="583">D70+C71</f>
        <v>0</v>
      </c>
      <c r="E71" s="694">
        <f t="shared" ref="E71" si="584">E70+D71</f>
        <v>0</v>
      </c>
      <c r="F71" s="694">
        <f t="shared" ref="F71" si="585">F70+E71</f>
        <v>0</v>
      </c>
      <c r="G71" s="694">
        <f t="shared" ref="G71" si="586">G70+F71</f>
        <v>0</v>
      </c>
      <c r="H71" s="694">
        <f t="shared" ref="H71" si="587">H70+G71</f>
        <v>0</v>
      </c>
      <c r="I71" s="694">
        <f t="shared" ref="I71" si="588">I70+H71</f>
        <v>0</v>
      </c>
      <c r="J71" s="694">
        <f t="shared" ref="J71" si="589">J70+I71</f>
        <v>0</v>
      </c>
      <c r="K71" s="694">
        <f t="shared" ref="K71" si="590">K70+J71</f>
        <v>0</v>
      </c>
      <c r="L71" s="694">
        <f t="shared" ref="L71" si="591">L70+K71</f>
        <v>0</v>
      </c>
      <c r="M71" s="694">
        <f t="shared" ref="M71" si="592">M70+L71</f>
        <v>0</v>
      </c>
      <c r="N71" s="694">
        <f t="shared" ref="N71" si="593">N70+M71</f>
        <v>0</v>
      </c>
      <c r="O71" s="694">
        <f t="shared" ref="O71" si="594">O70+N71</f>
        <v>0</v>
      </c>
      <c r="P71" s="694">
        <f t="shared" ref="P71" si="595">P70+O71</f>
        <v>0</v>
      </c>
      <c r="Q71" s="694">
        <f t="shared" ref="Q71" si="596">Q70+P71</f>
        <v>0</v>
      </c>
      <c r="R71" s="694">
        <f t="shared" ref="R71" si="597">R70+Q71</f>
        <v>0</v>
      </c>
      <c r="S71" s="694">
        <f t="shared" ref="S71" si="598">S70+R71</f>
        <v>0</v>
      </c>
      <c r="T71" s="694">
        <f t="shared" ref="T71" si="599">T70+S71</f>
        <v>0</v>
      </c>
      <c r="U71" s="694">
        <f t="shared" ref="U71" si="600">U70+T71</f>
        <v>0</v>
      </c>
      <c r="V71" s="694">
        <f t="shared" ref="V71" si="601">V70+U71</f>
        <v>0</v>
      </c>
      <c r="W71" s="694">
        <f t="shared" ref="W71" si="602">W70+V71</f>
        <v>0</v>
      </c>
      <c r="X71" s="694">
        <f t="shared" ref="X71" si="603">X70+W71</f>
        <v>0</v>
      </c>
      <c r="Y71" s="694">
        <f t="shared" ref="Y71" si="604">Y70+X71</f>
        <v>0</v>
      </c>
      <c r="Z71" s="694">
        <f t="shared" ref="Z71" si="605">Z70+Y71</f>
        <v>0</v>
      </c>
      <c r="AA71" s="694">
        <f t="shared" ref="AA71" si="606">AA70+Z71</f>
        <v>0</v>
      </c>
      <c r="AB71" s="694">
        <f t="shared" ref="AB71" si="607">AB70+AA71</f>
        <v>0</v>
      </c>
      <c r="AC71" s="694">
        <f t="shared" ref="AC71" si="608">AC70+AB71</f>
        <v>0</v>
      </c>
      <c r="AD71" s="694">
        <f t="shared" ref="AD71" si="609">AD70+AC71</f>
        <v>0</v>
      </c>
      <c r="AE71" s="694">
        <f t="shared" ref="AE71" si="610">AE70+AD71</f>
        <v>0</v>
      </c>
      <c r="AF71" s="694">
        <f t="shared" ref="AF71" si="611">AF70+AE71</f>
        <v>0</v>
      </c>
      <c r="AG71" s="694">
        <f t="shared" ref="AG71" si="612">AG70+AF71</f>
        <v>0</v>
      </c>
      <c r="AH71" s="694">
        <f>AH70+AG71</f>
        <v>0</v>
      </c>
      <c r="AI71" s="694">
        <f>AI70+AH71</f>
        <v>0</v>
      </c>
      <c r="AL71" s="113"/>
      <c r="AN71" s="133"/>
      <c r="AO71" s="112"/>
      <c r="AP71" s="133"/>
      <c r="AQ71" s="112"/>
      <c r="AR71" s="133"/>
    </row>
    <row r="72" spans="1:46" s="136" customFormat="1" x14ac:dyDescent="0.2">
      <c r="A72" s="147" t="s">
        <v>108</v>
      </c>
      <c r="B72" s="695">
        <f>ROUND(IF(B68-B71&gt;0,B68-B71,0),0)</f>
        <v>0</v>
      </c>
      <c r="C72" s="694">
        <f>ROUND(IF(C68-C71&gt;0,C68-C71,0),4)</f>
        <v>0</v>
      </c>
      <c r="D72" s="694">
        <f t="shared" ref="D72:AH72" si="613">ROUND(IF(D68-D71&gt;0,D68-D71,0),4)</f>
        <v>0</v>
      </c>
      <c r="E72" s="694">
        <f t="shared" si="613"/>
        <v>0</v>
      </c>
      <c r="F72" s="694">
        <f t="shared" si="613"/>
        <v>0</v>
      </c>
      <c r="G72" s="694">
        <f t="shared" si="613"/>
        <v>0</v>
      </c>
      <c r="H72" s="694">
        <f t="shared" si="613"/>
        <v>0</v>
      </c>
      <c r="I72" s="694">
        <f t="shared" si="613"/>
        <v>0</v>
      </c>
      <c r="J72" s="694">
        <f t="shared" si="613"/>
        <v>0</v>
      </c>
      <c r="K72" s="694">
        <f t="shared" si="613"/>
        <v>0</v>
      </c>
      <c r="L72" s="694">
        <f t="shared" si="613"/>
        <v>0</v>
      </c>
      <c r="M72" s="694">
        <f t="shared" si="613"/>
        <v>0</v>
      </c>
      <c r="N72" s="694">
        <f t="shared" si="613"/>
        <v>0</v>
      </c>
      <c r="O72" s="694">
        <f t="shared" si="613"/>
        <v>0</v>
      </c>
      <c r="P72" s="694">
        <f t="shared" si="613"/>
        <v>0</v>
      </c>
      <c r="Q72" s="694">
        <f t="shared" si="613"/>
        <v>0</v>
      </c>
      <c r="R72" s="694">
        <f t="shared" si="613"/>
        <v>0</v>
      </c>
      <c r="S72" s="694">
        <f t="shared" si="613"/>
        <v>0</v>
      </c>
      <c r="T72" s="694">
        <f t="shared" si="613"/>
        <v>0</v>
      </c>
      <c r="U72" s="694">
        <f t="shared" si="613"/>
        <v>0</v>
      </c>
      <c r="V72" s="694">
        <f t="shared" si="613"/>
        <v>0</v>
      </c>
      <c r="W72" s="694">
        <f t="shared" si="613"/>
        <v>0</v>
      </c>
      <c r="X72" s="694">
        <f t="shared" si="613"/>
        <v>0</v>
      </c>
      <c r="Y72" s="694">
        <f t="shared" si="613"/>
        <v>0</v>
      </c>
      <c r="Z72" s="694">
        <f t="shared" si="613"/>
        <v>0</v>
      </c>
      <c r="AA72" s="694">
        <f t="shared" si="613"/>
        <v>0</v>
      </c>
      <c r="AB72" s="694">
        <f t="shared" si="613"/>
        <v>0</v>
      </c>
      <c r="AC72" s="694">
        <f t="shared" si="613"/>
        <v>0</v>
      </c>
      <c r="AD72" s="694">
        <f t="shared" si="613"/>
        <v>0</v>
      </c>
      <c r="AE72" s="694">
        <f t="shared" si="613"/>
        <v>0</v>
      </c>
      <c r="AF72" s="694">
        <f t="shared" si="613"/>
        <v>0</v>
      </c>
      <c r="AG72" s="694">
        <f t="shared" si="613"/>
        <v>0</v>
      </c>
      <c r="AH72" s="694">
        <f t="shared" si="613"/>
        <v>0</v>
      </c>
      <c r="AI72" s="694">
        <f>ROUND(IF(AI68-AI71&gt;0,AI68-AI71,0),4)</f>
        <v>0</v>
      </c>
      <c r="AL72" s="113"/>
      <c r="AN72" s="133"/>
      <c r="AO72" s="112"/>
      <c r="AP72" s="133"/>
      <c r="AQ72" s="112"/>
      <c r="AR72" s="133"/>
    </row>
    <row r="73" spans="1:46" x14ac:dyDescent="0.2">
      <c r="A73" s="139"/>
      <c r="B73" s="140"/>
      <c r="C73" s="140"/>
      <c r="D73" s="140"/>
      <c r="E73" s="141"/>
      <c r="F73" s="116"/>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K73" s="137"/>
      <c r="AL73" s="138"/>
      <c r="AM73" s="137"/>
      <c r="AN73" s="138"/>
      <c r="AO73" s="137"/>
      <c r="AP73" s="138"/>
      <c r="AQ73" s="137"/>
      <c r="AR73" s="138"/>
      <c r="AS73" s="137"/>
      <c r="AT73" s="137"/>
    </row>
    <row r="74" spans="1:46" s="136" customFormat="1" ht="29.25" customHeight="1" x14ac:dyDescent="0.2">
      <c r="A74" s="40" t="s">
        <v>285</v>
      </c>
      <c r="B74" s="116"/>
      <c r="C74" s="116"/>
      <c r="D74" s="116"/>
      <c r="E74" s="116"/>
      <c r="F74" s="116"/>
      <c r="G74" s="116"/>
      <c r="H74" s="116"/>
      <c r="I74" s="116"/>
      <c r="J74" s="116"/>
      <c r="K74" s="116"/>
      <c r="L74" s="116"/>
      <c r="M74" s="116"/>
      <c r="N74" s="116"/>
      <c r="O74" s="116" t="s">
        <v>16</v>
      </c>
      <c r="P74" s="116"/>
      <c r="Q74" s="116"/>
      <c r="R74" s="116"/>
      <c r="S74" s="116"/>
      <c r="T74" s="116"/>
      <c r="U74" s="116"/>
      <c r="V74" s="116"/>
      <c r="W74" s="116"/>
      <c r="X74" s="116"/>
      <c r="Y74" s="116"/>
      <c r="Z74" s="116"/>
      <c r="AA74" s="116"/>
      <c r="AB74" s="116"/>
      <c r="AC74" s="116"/>
      <c r="AD74" s="116"/>
      <c r="AE74" s="116"/>
      <c r="AF74" s="116"/>
      <c r="AG74" s="116"/>
      <c r="AH74" s="116"/>
      <c r="AI74" s="116"/>
      <c r="AK74" s="137"/>
      <c r="AL74" s="138"/>
      <c r="AM74" s="137"/>
      <c r="AN74" s="138"/>
      <c r="AO74" s="137"/>
      <c r="AP74" s="138"/>
      <c r="AQ74" s="137"/>
      <c r="AR74" s="138"/>
      <c r="AS74" s="137"/>
      <c r="AT74" s="137"/>
    </row>
    <row r="75" spans="1:46" s="203" customFormat="1" x14ac:dyDescent="0.2">
      <c r="A75" s="783"/>
      <c r="B75" s="784">
        <f>Aprekini!B5</f>
        <v>2019</v>
      </c>
      <c r="C75" s="784">
        <f t="shared" ref="C75:AG75" si="614">B75+1</f>
        <v>2020</v>
      </c>
      <c r="D75" s="784">
        <f t="shared" si="614"/>
        <v>2021</v>
      </c>
      <c r="E75" s="784">
        <f t="shared" si="614"/>
        <v>2022</v>
      </c>
      <c r="F75" s="784">
        <f t="shared" si="614"/>
        <v>2023</v>
      </c>
      <c r="G75" s="784">
        <f t="shared" si="614"/>
        <v>2024</v>
      </c>
      <c r="H75" s="784">
        <f t="shared" si="614"/>
        <v>2025</v>
      </c>
      <c r="I75" s="784">
        <f t="shared" si="614"/>
        <v>2026</v>
      </c>
      <c r="J75" s="784">
        <f t="shared" si="614"/>
        <v>2027</v>
      </c>
      <c r="K75" s="784">
        <f t="shared" si="614"/>
        <v>2028</v>
      </c>
      <c r="L75" s="784">
        <f t="shared" si="614"/>
        <v>2029</v>
      </c>
      <c r="M75" s="784">
        <f t="shared" si="614"/>
        <v>2030</v>
      </c>
      <c r="N75" s="784">
        <f t="shared" si="614"/>
        <v>2031</v>
      </c>
      <c r="O75" s="784">
        <f t="shared" si="614"/>
        <v>2032</v>
      </c>
      <c r="P75" s="784">
        <f t="shared" si="614"/>
        <v>2033</v>
      </c>
      <c r="Q75" s="784">
        <f t="shared" si="614"/>
        <v>2034</v>
      </c>
      <c r="R75" s="784">
        <f t="shared" si="614"/>
        <v>2035</v>
      </c>
      <c r="S75" s="784">
        <f t="shared" si="614"/>
        <v>2036</v>
      </c>
      <c r="T75" s="784">
        <f t="shared" si="614"/>
        <v>2037</v>
      </c>
      <c r="U75" s="784">
        <f t="shared" si="614"/>
        <v>2038</v>
      </c>
      <c r="V75" s="784">
        <f t="shared" si="614"/>
        <v>2039</v>
      </c>
      <c r="W75" s="784">
        <f t="shared" si="614"/>
        <v>2040</v>
      </c>
      <c r="X75" s="784">
        <f t="shared" si="614"/>
        <v>2041</v>
      </c>
      <c r="Y75" s="784">
        <f t="shared" si="614"/>
        <v>2042</v>
      </c>
      <c r="Z75" s="784">
        <f t="shared" si="614"/>
        <v>2043</v>
      </c>
      <c r="AA75" s="784">
        <f t="shared" si="614"/>
        <v>2044</v>
      </c>
      <c r="AB75" s="784">
        <f t="shared" si="614"/>
        <v>2045</v>
      </c>
      <c r="AC75" s="784">
        <f t="shared" si="614"/>
        <v>2046</v>
      </c>
      <c r="AD75" s="784">
        <f t="shared" si="614"/>
        <v>2047</v>
      </c>
      <c r="AE75" s="784">
        <f t="shared" si="614"/>
        <v>2048</v>
      </c>
      <c r="AF75" s="784">
        <f t="shared" si="614"/>
        <v>2049</v>
      </c>
      <c r="AG75" s="784">
        <f t="shared" si="614"/>
        <v>2050</v>
      </c>
      <c r="AH75" s="784">
        <f>AG75+1</f>
        <v>2051</v>
      </c>
      <c r="AI75" s="784">
        <f>AH75+1</f>
        <v>2052</v>
      </c>
      <c r="AK75" s="188"/>
      <c r="AL75" s="785"/>
      <c r="AM75" s="188"/>
      <c r="AN75" s="785"/>
      <c r="AO75" s="188"/>
      <c r="AP75" s="785"/>
      <c r="AQ75" s="188"/>
      <c r="AR75" s="785"/>
      <c r="AS75" s="188"/>
      <c r="AT75" s="188"/>
    </row>
    <row r="76" spans="1:46" s="136" customFormat="1" x14ac:dyDescent="0.2">
      <c r="A76" s="142" t="s">
        <v>24</v>
      </c>
      <c r="B76" s="143"/>
      <c r="C76" s="143"/>
      <c r="D76" s="143"/>
      <c r="E76" s="143"/>
      <c r="F76" s="143"/>
      <c r="G76" s="143"/>
      <c r="H76" s="143"/>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K76" s="137"/>
      <c r="AL76" s="138"/>
      <c r="AM76" s="137"/>
      <c r="AN76" s="138"/>
      <c r="AO76" s="137"/>
      <c r="AP76" s="138"/>
      <c r="AQ76" s="137"/>
      <c r="AR76" s="138"/>
      <c r="AS76" s="137"/>
      <c r="AT76" s="137"/>
    </row>
    <row r="77" spans="1:46" s="136" customFormat="1" x14ac:dyDescent="0.2">
      <c r="A77" s="145" t="s">
        <v>103</v>
      </c>
      <c r="B77" s="124"/>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c r="AK77" s="137"/>
      <c r="AL77" s="138"/>
      <c r="AM77" s="137"/>
      <c r="AN77" s="138"/>
      <c r="AO77" s="137"/>
      <c r="AP77" s="138"/>
      <c r="AQ77" s="137"/>
      <c r="AR77" s="138"/>
      <c r="AS77" s="137"/>
      <c r="AT77" s="137"/>
    </row>
    <row r="78" spans="1:46" s="136" customFormat="1" x14ac:dyDescent="0.2">
      <c r="A78" s="146" t="s">
        <v>8</v>
      </c>
      <c r="B78" s="144"/>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K78" s="137"/>
      <c r="AL78" s="138"/>
      <c r="AM78" s="137"/>
      <c r="AN78" s="138"/>
      <c r="AO78" s="137"/>
      <c r="AP78" s="138"/>
      <c r="AQ78" s="137"/>
      <c r="AR78" s="138"/>
      <c r="AS78" s="137"/>
      <c r="AT78" s="137"/>
    </row>
    <row r="79" spans="1:46" s="136" customFormat="1" x14ac:dyDescent="0.2">
      <c r="A79" s="147" t="s">
        <v>104</v>
      </c>
      <c r="B79" s="695">
        <f>B139</f>
        <v>0</v>
      </c>
      <c r="C79" s="696">
        <f>C139+B79</f>
        <v>30600</v>
      </c>
      <c r="D79" s="696">
        <f>D139+C79</f>
        <v>30600</v>
      </c>
      <c r="E79" s="696">
        <f t="shared" ref="E79:AI79" si="615">E139+D79</f>
        <v>30600</v>
      </c>
      <c r="F79" s="696">
        <f t="shared" si="615"/>
        <v>30600</v>
      </c>
      <c r="G79" s="696">
        <f t="shared" si="615"/>
        <v>30600</v>
      </c>
      <c r="H79" s="696">
        <f t="shared" si="615"/>
        <v>30600</v>
      </c>
      <c r="I79" s="696">
        <f t="shared" si="615"/>
        <v>30600</v>
      </c>
      <c r="J79" s="696">
        <f t="shared" si="615"/>
        <v>30600</v>
      </c>
      <c r="K79" s="696">
        <f t="shared" si="615"/>
        <v>30600</v>
      </c>
      <c r="L79" s="696">
        <f t="shared" si="615"/>
        <v>30600</v>
      </c>
      <c r="M79" s="696">
        <f t="shared" si="615"/>
        <v>30600</v>
      </c>
      <c r="N79" s="696">
        <f t="shared" si="615"/>
        <v>30600</v>
      </c>
      <c r="O79" s="696">
        <f t="shared" si="615"/>
        <v>30600</v>
      </c>
      <c r="P79" s="696">
        <f t="shared" si="615"/>
        <v>30600</v>
      </c>
      <c r="Q79" s="696">
        <f t="shared" si="615"/>
        <v>30600</v>
      </c>
      <c r="R79" s="696">
        <f t="shared" si="615"/>
        <v>30600</v>
      </c>
      <c r="S79" s="696">
        <f t="shared" si="615"/>
        <v>30600</v>
      </c>
      <c r="T79" s="696">
        <f t="shared" si="615"/>
        <v>30600</v>
      </c>
      <c r="U79" s="696">
        <f t="shared" si="615"/>
        <v>30600</v>
      </c>
      <c r="V79" s="696">
        <f t="shared" si="615"/>
        <v>30600</v>
      </c>
      <c r="W79" s="696">
        <f t="shared" si="615"/>
        <v>30600</v>
      </c>
      <c r="X79" s="696">
        <f t="shared" si="615"/>
        <v>30600</v>
      </c>
      <c r="Y79" s="696">
        <f t="shared" si="615"/>
        <v>30600</v>
      </c>
      <c r="Z79" s="696">
        <f t="shared" si="615"/>
        <v>30600</v>
      </c>
      <c r="AA79" s="696">
        <f t="shared" si="615"/>
        <v>30600</v>
      </c>
      <c r="AB79" s="696">
        <f t="shared" si="615"/>
        <v>30600</v>
      </c>
      <c r="AC79" s="696">
        <f t="shared" si="615"/>
        <v>30600</v>
      </c>
      <c r="AD79" s="696">
        <f t="shared" si="615"/>
        <v>30600</v>
      </c>
      <c r="AE79" s="696">
        <f t="shared" si="615"/>
        <v>30600</v>
      </c>
      <c r="AF79" s="696">
        <f t="shared" si="615"/>
        <v>30600</v>
      </c>
      <c r="AG79" s="696">
        <f t="shared" si="615"/>
        <v>30600</v>
      </c>
      <c r="AH79" s="696">
        <f t="shared" si="615"/>
        <v>30600</v>
      </c>
      <c r="AI79" s="696">
        <f t="shared" si="615"/>
        <v>30600</v>
      </c>
      <c r="AK79" s="137"/>
      <c r="AL79" s="138"/>
      <c r="AM79" s="137"/>
      <c r="AN79" s="138"/>
      <c r="AO79" s="137"/>
      <c r="AP79" s="138"/>
      <c r="AQ79" s="137"/>
      <c r="AR79" s="138"/>
      <c r="AS79" s="137"/>
      <c r="AT79" s="137"/>
    </row>
    <row r="80" spans="1:46" s="136" customFormat="1" x14ac:dyDescent="0.2">
      <c r="A80" s="147" t="s">
        <v>105</v>
      </c>
      <c r="B80" s="35">
        <f>1/'Kopējie pieņēmumi'!$B$27</f>
        <v>0.02</v>
      </c>
      <c r="C80" s="14">
        <f>B80</f>
        <v>0.02</v>
      </c>
      <c r="D80" s="14">
        <f t="shared" ref="D80:AH80" si="616">C80</f>
        <v>0.02</v>
      </c>
      <c r="E80" s="14">
        <f t="shared" si="616"/>
        <v>0.02</v>
      </c>
      <c r="F80" s="14">
        <f t="shared" si="616"/>
        <v>0.02</v>
      </c>
      <c r="G80" s="14">
        <f t="shared" si="616"/>
        <v>0.02</v>
      </c>
      <c r="H80" s="14">
        <f t="shared" si="616"/>
        <v>0.02</v>
      </c>
      <c r="I80" s="14">
        <f t="shared" si="616"/>
        <v>0.02</v>
      </c>
      <c r="J80" s="14">
        <f t="shared" si="616"/>
        <v>0.02</v>
      </c>
      <c r="K80" s="14">
        <f t="shared" si="616"/>
        <v>0.02</v>
      </c>
      <c r="L80" s="14">
        <f t="shared" si="616"/>
        <v>0.02</v>
      </c>
      <c r="M80" s="14">
        <f t="shared" si="616"/>
        <v>0.02</v>
      </c>
      <c r="N80" s="14">
        <f t="shared" si="616"/>
        <v>0.02</v>
      </c>
      <c r="O80" s="14">
        <f t="shared" si="616"/>
        <v>0.02</v>
      </c>
      <c r="P80" s="14">
        <f t="shared" si="616"/>
        <v>0.02</v>
      </c>
      <c r="Q80" s="14">
        <f t="shared" si="616"/>
        <v>0.02</v>
      </c>
      <c r="R80" s="14">
        <f t="shared" si="616"/>
        <v>0.02</v>
      </c>
      <c r="S80" s="14">
        <f t="shared" si="616"/>
        <v>0.02</v>
      </c>
      <c r="T80" s="14">
        <f t="shared" si="616"/>
        <v>0.02</v>
      </c>
      <c r="U80" s="14">
        <f t="shared" si="616"/>
        <v>0.02</v>
      </c>
      <c r="V80" s="14">
        <f t="shared" si="616"/>
        <v>0.02</v>
      </c>
      <c r="W80" s="14">
        <f t="shared" si="616"/>
        <v>0.02</v>
      </c>
      <c r="X80" s="14">
        <f t="shared" si="616"/>
        <v>0.02</v>
      </c>
      <c r="Y80" s="14">
        <f t="shared" si="616"/>
        <v>0.02</v>
      </c>
      <c r="Z80" s="14">
        <f t="shared" si="616"/>
        <v>0.02</v>
      </c>
      <c r="AA80" s="14">
        <f t="shared" si="616"/>
        <v>0.02</v>
      </c>
      <c r="AB80" s="14">
        <f t="shared" si="616"/>
        <v>0.02</v>
      </c>
      <c r="AC80" s="14">
        <f t="shared" si="616"/>
        <v>0.02</v>
      </c>
      <c r="AD80" s="14">
        <f t="shared" si="616"/>
        <v>0.02</v>
      </c>
      <c r="AE80" s="14">
        <f t="shared" si="616"/>
        <v>0.02</v>
      </c>
      <c r="AF80" s="14">
        <f t="shared" si="616"/>
        <v>0.02</v>
      </c>
      <c r="AG80" s="14">
        <f t="shared" si="616"/>
        <v>0.02</v>
      </c>
      <c r="AH80" s="14">
        <f t="shared" si="616"/>
        <v>0.02</v>
      </c>
      <c r="AI80" s="14">
        <f>AH80</f>
        <v>0.02</v>
      </c>
      <c r="AK80" s="137"/>
      <c r="AL80" s="138"/>
      <c r="AM80" s="137"/>
      <c r="AN80" s="138"/>
      <c r="AO80" s="137"/>
      <c r="AP80" s="138"/>
      <c r="AQ80" s="137"/>
      <c r="AR80" s="138"/>
      <c r="AS80" s="137"/>
      <c r="AT80" s="137"/>
    </row>
    <row r="81" spans="1:46" s="136" customFormat="1" x14ac:dyDescent="0.2">
      <c r="A81" s="147" t="s">
        <v>106</v>
      </c>
      <c r="B81" s="697">
        <v>0</v>
      </c>
      <c r="C81" s="694">
        <f t="shared" ref="C81:AG81" si="617">IF(B83&gt;0,IF(C79-B79&gt;0,0,C80*C79),0)</f>
        <v>0</v>
      </c>
      <c r="D81" s="694">
        <f>IF(C83&gt;0,IF(D79-C79&gt;0,0,D80*D79),0)</f>
        <v>612</v>
      </c>
      <c r="E81" s="694">
        <f t="shared" si="617"/>
        <v>612</v>
      </c>
      <c r="F81" s="694">
        <f t="shared" si="617"/>
        <v>612</v>
      </c>
      <c r="G81" s="694">
        <f t="shared" si="617"/>
        <v>612</v>
      </c>
      <c r="H81" s="694">
        <f t="shared" si="617"/>
        <v>612</v>
      </c>
      <c r="I81" s="694">
        <f t="shared" si="617"/>
        <v>612</v>
      </c>
      <c r="J81" s="694">
        <f t="shared" si="617"/>
        <v>612</v>
      </c>
      <c r="K81" s="694">
        <f t="shared" si="617"/>
        <v>612</v>
      </c>
      <c r="L81" s="694">
        <f t="shared" si="617"/>
        <v>612</v>
      </c>
      <c r="M81" s="694">
        <f t="shared" si="617"/>
        <v>612</v>
      </c>
      <c r="N81" s="694">
        <f t="shared" si="617"/>
        <v>612</v>
      </c>
      <c r="O81" s="694">
        <f t="shared" si="617"/>
        <v>612</v>
      </c>
      <c r="P81" s="694">
        <f t="shared" si="617"/>
        <v>612</v>
      </c>
      <c r="Q81" s="694">
        <f t="shared" si="617"/>
        <v>612</v>
      </c>
      <c r="R81" s="694">
        <f t="shared" si="617"/>
        <v>612</v>
      </c>
      <c r="S81" s="694">
        <f t="shared" si="617"/>
        <v>612</v>
      </c>
      <c r="T81" s="694">
        <f t="shared" si="617"/>
        <v>612</v>
      </c>
      <c r="U81" s="694">
        <f t="shared" si="617"/>
        <v>612</v>
      </c>
      <c r="V81" s="694">
        <f t="shared" si="617"/>
        <v>612</v>
      </c>
      <c r="W81" s="694">
        <f t="shared" si="617"/>
        <v>612</v>
      </c>
      <c r="X81" s="694">
        <f t="shared" si="617"/>
        <v>612</v>
      </c>
      <c r="Y81" s="694">
        <f t="shared" si="617"/>
        <v>612</v>
      </c>
      <c r="Z81" s="694">
        <f t="shared" si="617"/>
        <v>612</v>
      </c>
      <c r="AA81" s="694">
        <f t="shared" si="617"/>
        <v>612</v>
      </c>
      <c r="AB81" s="694">
        <f t="shared" si="617"/>
        <v>612</v>
      </c>
      <c r="AC81" s="694">
        <f t="shared" si="617"/>
        <v>612</v>
      </c>
      <c r="AD81" s="694">
        <f t="shared" si="617"/>
        <v>612</v>
      </c>
      <c r="AE81" s="694">
        <f t="shared" si="617"/>
        <v>612</v>
      </c>
      <c r="AF81" s="694">
        <f t="shared" si="617"/>
        <v>612</v>
      </c>
      <c r="AG81" s="694">
        <f t="shared" si="617"/>
        <v>612</v>
      </c>
      <c r="AH81" s="694">
        <f>IF(AG83&gt;0,IF(AH79-AG79&gt;0,0,AH80*AH79),0)</f>
        <v>612</v>
      </c>
      <c r="AI81" s="694">
        <f>IF(AH83&gt;0,IF(AI79-AH79&gt;0,0,AI80*AI79),0)</f>
        <v>612</v>
      </c>
      <c r="AK81" s="137"/>
      <c r="AL81" s="138"/>
      <c r="AM81" s="137"/>
      <c r="AN81" s="138"/>
      <c r="AO81" s="137"/>
      <c r="AP81" s="138"/>
      <c r="AQ81" s="137"/>
      <c r="AR81" s="138"/>
      <c r="AS81" s="137"/>
      <c r="AT81" s="137"/>
    </row>
    <row r="82" spans="1:46" s="136" customFormat="1" x14ac:dyDescent="0.2">
      <c r="A82" s="147" t="s">
        <v>107</v>
      </c>
      <c r="B82" s="695">
        <f>B81</f>
        <v>0</v>
      </c>
      <c r="C82" s="694">
        <f t="shared" ref="C82:AG82" si="618">C81+B82</f>
        <v>0</v>
      </c>
      <c r="D82" s="694">
        <f t="shared" si="618"/>
        <v>612</v>
      </c>
      <c r="E82" s="694">
        <f t="shared" si="618"/>
        <v>1224</v>
      </c>
      <c r="F82" s="694">
        <f t="shared" si="618"/>
        <v>1836</v>
      </c>
      <c r="G82" s="694">
        <f t="shared" si="618"/>
        <v>2448</v>
      </c>
      <c r="H82" s="694">
        <f t="shared" si="618"/>
        <v>3060</v>
      </c>
      <c r="I82" s="694">
        <f t="shared" si="618"/>
        <v>3672</v>
      </c>
      <c r="J82" s="694">
        <f t="shared" si="618"/>
        <v>4284</v>
      </c>
      <c r="K82" s="694">
        <f t="shared" si="618"/>
        <v>4896</v>
      </c>
      <c r="L82" s="694">
        <f t="shared" si="618"/>
        <v>5508</v>
      </c>
      <c r="M82" s="694">
        <f t="shared" si="618"/>
        <v>6120</v>
      </c>
      <c r="N82" s="694">
        <f t="shared" si="618"/>
        <v>6732</v>
      </c>
      <c r="O82" s="694">
        <f t="shared" si="618"/>
        <v>7344</v>
      </c>
      <c r="P82" s="694">
        <f t="shared" si="618"/>
        <v>7956</v>
      </c>
      <c r="Q82" s="694">
        <f t="shared" si="618"/>
        <v>8568</v>
      </c>
      <c r="R82" s="694">
        <f t="shared" si="618"/>
        <v>9180</v>
      </c>
      <c r="S82" s="694">
        <f t="shared" si="618"/>
        <v>9792</v>
      </c>
      <c r="T82" s="694">
        <f t="shared" si="618"/>
        <v>10404</v>
      </c>
      <c r="U82" s="694">
        <f t="shared" si="618"/>
        <v>11016</v>
      </c>
      <c r="V82" s="694">
        <f t="shared" si="618"/>
        <v>11628</v>
      </c>
      <c r="W82" s="694">
        <f t="shared" si="618"/>
        <v>12240</v>
      </c>
      <c r="X82" s="694">
        <f t="shared" si="618"/>
        <v>12852</v>
      </c>
      <c r="Y82" s="694">
        <f t="shared" si="618"/>
        <v>13464</v>
      </c>
      <c r="Z82" s="694">
        <f t="shared" si="618"/>
        <v>14076</v>
      </c>
      <c r="AA82" s="694">
        <f t="shared" si="618"/>
        <v>14688</v>
      </c>
      <c r="AB82" s="694">
        <f t="shared" si="618"/>
        <v>15300</v>
      </c>
      <c r="AC82" s="694">
        <f t="shared" si="618"/>
        <v>15912</v>
      </c>
      <c r="AD82" s="694">
        <f t="shared" si="618"/>
        <v>16524</v>
      </c>
      <c r="AE82" s="694">
        <f t="shared" si="618"/>
        <v>17136</v>
      </c>
      <c r="AF82" s="694">
        <f t="shared" si="618"/>
        <v>17748</v>
      </c>
      <c r="AG82" s="694">
        <f t="shared" si="618"/>
        <v>18360</v>
      </c>
      <c r="AH82" s="694">
        <f>AH81+AG82</f>
        <v>18972</v>
      </c>
      <c r="AI82" s="694">
        <f>AI81+AH82</f>
        <v>19584</v>
      </c>
      <c r="AK82" s="137"/>
      <c r="AL82" s="138"/>
      <c r="AM82" s="137"/>
      <c r="AN82" s="138"/>
      <c r="AO82" s="137"/>
      <c r="AP82" s="138"/>
      <c r="AQ82" s="137"/>
      <c r="AR82" s="138"/>
      <c r="AS82" s="137"/>
      <c r="AT82" s="137"/>
    </row>
    <row r="83" spans="1:46" s="136" customFormat="1" x14ac:dyDescent="0.2">
      <c r="A83" s="147" t="s">
        <v>108</v>
      </c>
      <c r="B83" s="695">
        <f t="shared" ref="B83:AG83" si="619">ROUND(IF(B79-B82&gt;0,B79-B82,0),0)</f>
        <v>0</v>
      </c>
      <c r="C83" s="694">
        <f t="shared" si="619"/>
        <v>30600</v>
      </c>
      <c r="D83" s="694">
        <f t="shared" si="619"/>
        <v>29988</v>
      </c>
      <c r="E83" s="694">
        <f t="shared" si="619"/>
        <v>29376</v>
      </c>
      <c r="F83" s="694">
        <f t="shared" si="619"/>
        <v>28764</v>
      </c>
      <c r="G83" s="694">
        <f t="shared" si="619"/>
        <v>28152</v>
      </c>
      <c r="H83" s="694">
        <f t="shared" si="619"/>
        <v>27540</v>
      </c>
      <c r="I83" s="694">
        <f t="shared" si="619"/>
        <v>26928</v>
      </c>
      <c r="J83" s="694">
        <f t="shared" si="619"/>
        <v>26316</v>
      </c>
      <c r="K83" s="694">
        <f t="shared" si="619"/>
        <v>25704</v>
      </c>
      <c r="L83" s="694">
        <f t="shared" si="619"/>
        <v>25092</v>
      </c>
      <c r="M83" s="694">
        <f t="shared" si="619"/>
        <v>24480</v>
      </c>
      <c r="N83" s="694">
        <f t="shared" si="619"/>
        <v>23868</v>
      </c>
      <c r="O83" s="694">
        <f t="shared" si="619"/>
        <v>23256</v>
      </c>
      <c r="P83" s="694">
        <f t="shared" si="619"/>
        <v>22644</v>
      </c>
      <c r="Q83" s="694">
        <f t="shared" si="619"/>
        <v>22032</v>
      </c>
      <c r="R83" s="694">
        <f t="shared" si="619"/>
        <v>21420</v>
      </c>
      <c r="S83" s="694">
        <f t="shared" si="619"/>
        <v>20808</v>
      </c>
      <c r="T83" s="694">
        <f t="shared" si="619"/>
        <v>20196</v>
      </c>
      <c r="U83" s="694">
        <f t="shared" si="619"/>
        <v>19584</v>
      </c>
      <c r="V83" s="694">
        <f t="shared" si="619"/>
        <v>18972</v>
      </c>
      <c r="W83" s="694">
        <f t="shared" si="619"/>
        <v>18360</v>
      </c>
      <c r="X83" s="694">
        <f t="shared" si="619"/>
        <v>17748</v>
      </c>
      <c r="Y83" s="694">
        <f t="shared" si="619"/>
        <v>17136</v>
      </c>
      <c r="Z83" s="694">
        <f t="shared" si="619"/>
        <v>16524</v>
      </c>
      <c r="AA83" s="694">
        <f t="shared" si="619"/>
        <v>15912</v>
      </c>
      <c r="AB83" s="694">
        <f t="shared" si="619"/>
        <v>15300</v>
      </c>
      <c r="AC83" s="694">
        <f t="shared" si="619"/>
        <v>14688</v>
      </c>
      <c r="AD83" s="694">
        <f t="shared" si="619"/>
        <v>14076</v>
      </c>
      <c r="AE83" s="694">
        <f t="shared" si="619"/>
        <v>13464</v>
      </c>
      <c r="AF83" s="694">
        <f t="shared" si="619"/>
        <v>12852</v>
      </c>
      <c r="AG83" s="694">
        <f t="shared" si="619"/>
        <v>12240</v>
      </c>
      <c r="AH83" s="694">
        <f>ROUND(IF(AH79-AH82&gt;0,AH79-AH82,0),0)</f>
        <v>11628</v>
      </c>
      <c r="AI83" s="694">
        <f>ROUND(IF(AI79-AI82&gt;0,AI79-AI82,0),0)</f>
        <v>11016</v>
      </c>
      <c r="AK83" s="137"/>
      <c r="AL83" s="138"/>
      <c r="AM83" s="137"/>
      <c r="AN83" s="138"/>
      <c r="AO83" s="137"/>
      <c r="AP83" s="138"/>
      <c r="AQ83" s="137"/>
      <c r="AR83" s="138"/>
      <c r="AS83" s="137"/>
      <c r="AT83" s="137"/>
    </row>
    <row r="84" spans="1:46" s="136" customFormat="1" x14ac:dyDescent="0.2">
      <c r="A84" s="146" t="s">
        <v>9</v>
      </c>
      <c r="B84" s="698"/>
      <c r="C84" s="699"/>
      <c r="D84" s="699"/>
      <c r="E84" s="699"/>
      <c r="F84" s="699"/>
      <c r="G84" s="699"/>
      <c r="H84" s="699"/>
      <c r="I84" s="699"/>
      <c r="J84" s="699"/>
      <c r="K84" s="699"/>
      <c r="L84" s="699"/>
      <c r="M84" s="699"/>
      <c r="N84" s="699"/>
      <c r="O84" s="699"/>
      <c r="P84" s="699"/>
      <c r="Q84" s="699"/>
      <c r="R84" s="699"/>
      <c r="S84" s="699"/>
      <c r="T84" s="699"/>
      <c r="U84" s="699"/>
      <c r="V84" s="699"/>
      <c r="W84" s="699"/>
      <c r="X84" s="699"/>
      <c r="Y84" s="699"/>
      <c r="Z84" s="699"/>
      <c r="AA84" s="699"/>
      <c r="AB84" s="699"/>
      <c r="AC84" s="699"/>
      <c r="AD84" s="699"/>
      <c r="AE84" s="699"/>
      <c r="AF84" s="699"/>
      <c r="AG84" s="699"/>
      <c r="AH84" s="699"/>
      <c r="AI84" s="699"/>
      <c r="AK84" s="137"/>
      <c r="AL84" s="138"/>
      <c r="AM84" s="137"/>
      <c r="AN84" s="138"/>
      <c r="AO84" s="137"/>
      <c r="AP84" s="138"/>
      <c r="AQ84" s="137"/>
      <c r="AR84" s="138"/>
      <c r="AS84" s="137"/>
      <c r="AT84" s="137"/>
    </row>
    <row r="85" spans="1:46" s="136" customFormat="1" x14ac:dyDescent="0.2">
      <c r="A85" s="147" t="s">
        <v>104</v>
      </c>
      <c r="B85" s="695">
        <f>B139</f>
        <v>0</v>
      </c>
      <c r="C85" s="695">
        <f>C140+B85</f>
        <v>30600</v>
      </c>
      <c r="D85" s="695">
        <f t="shared" ref="D85:AI85" si="620">D140+C85</f>
        <v>30600</v>
      </c>
      <c r="E85" s="695">
        <f t="shared" si="620"/>
        <v>30600</v>
      </c>
      <c r="F85" s="695">
        <f t="shared" si="620"/>
        <v>30600</v>
      </c>
      <c r="G85" s="695">
        <f t="shared" si="620"/>
        <v>30600</v>
      </c>
      <c r="H85" s="695">
        <f t="shared" si="620"/>
        <v>30600</v>
      </c>
      <c r="I85" s="695">
        <f t="shared" si="620"/>
        <v>30600</v>
      </c>
      <c r="J85" s="695">
        <f t="shared" si="620"/>
        <v>30600</v>
      </c>
      <c r="K85" s="695">
        <f t="shared" si="620"/>
        <v>30600</v>
      </c>
      <c r="L85" s="695">
        <f t="shared" si="620"/>
        <v>30600</v>
      </c>
      <c r="M85" s="695">
        <f t="shared" si="620"/>
        <v>30600</v>
      </c>
      <c r="N85" s="695">
        <f t="shared" si="620"/>
        <v>30600</v>
      </c>
      <c r="O85" s="695">
        <f t="shared" si="620"/>
        <v>30600</v>
      </c>
      <c r="P85" s="695">
        <f t="shared" si="620"/>
        <v>30600</v>
      </c>
      <c r="Q85" s="695">
        <f t="shared" si="620"/>
        <v>30600</v>
      </c>
      <c r="R85" s="695">
        <f t="shared" si="620"/>
        <v>30600</v>
      </c>
      <c r="S85" s="695">
        <f t="shared" si="620"/>
        <v>30600</v>
      </c>
      <c r="T85" s="695">
        <f t="shared" si="620"/>
        <v>30600</v>
      </c>
      <c r="U85" s="695">
        <f t="shared" si="620"/>
        <v>30600</v>
      </c>
      <c r="V85" s="695">
        <f t="shared" si="620"/>
        <v>30600</v>
      </c>
      <c r="W85" s="695">
        <f t="shared" si="620"/>
        <v>30600</v>
      </c>
      <c r="X85" s="695">
        <f t="shared" si="620"/>
        <v>30600</v>
      </c>
      <c r="Y85" s="695">
        <f t="shared" si="620"/>
        <v>30600</v>
      </c>
      <c r="Z85" s="695">
        <f t="shared" si="620"/>
        <v>30600</v>
      </c>
      <c r="AA85" s="695">
        <f t="shared" si="620"/>
        <v>30600</v>
      </c>
      <c r="AB85" s="695">
        <f t="shared" si="620"/>
        <v>30600</v>
      </c>
      <c r="AC85" s="695">
        <f t="shared" si="620"/>
        <v>30600</v>
      </c>
      <c r="AD85" s="695">
        <f t="shared" si="620"/>
        <v>30600</v>
      </c>
      <c r="AE85" s="695">
        <f t="shared" si="620"/>
        <v>30600</v>
      </c>
      <c r="AF85" s="695">
        <f t="shared" si="620"/>
        <v>30600</v>
      </c>
      <c r="AG85" s="695">
        <f t="shared" si="620"/>
        <v>30600</v>
      </c>
      <c r="AH85" s="695">
        <f t="shared" si="620"/>
        <v>30600</v>
      </c>
      <c r="AI85" s="695">
        <f t="shared" si="620"/>
        <v>30600</v>
      </c>
      <c r="AK85" s="137"/>
      <c r="AL85" s="138"/>
      <c r="AM85" s="137"/>
      <c r="AN85" s="138"/>
      <c r="AO85" s="137"/>
      <c r="AP85" s="138"/>
      <c r="AQ85" s="137"/>
      <c r="AR85" s="138"/>
      <c r="AS85" s="137"/>
      <c r="AT85" s="137"/>
    </row>
    <row r="86" spans="1:46" s="136" customFormat="1" x14ac:dyDescent="0.2">
      <c r="A86" s="147" t="s">
        <v>105</v>
      </c>
      <c r="B86" s="35">
        <f>1/'Kopējie pieņēmumi'!$B$28</f>
        <v>0.1</v>
      </c>
      <c r="C86" s="14">
        <f>B86</f>
        <v>0.1</v>
      </c>
      <c r="D86" s="14">
        <f t="shared" ref="D86:AH86" si="621">C86</f>
        <v>0.1</v>
      </c>
      <c r="E86" s="14">
        <f t="shared" si="621"/>
        <v>0.1</v>
      </c>
      <c r="F86" s="14">
        <f t="shared" si="621"/>
        <v>0.1</v>
      </c>
      <c r="G86" s="14">
        <f t="shared" si="621"/>
        <v>0.1</v>
      </c>
      <c r="H86" s="14">
        <f t="shared" si="621"/>
        <v>0.1</v>
      </c>
      <c r="I86" s="14">
        <f t="shared" si="621"/>
        <v>0.1</v>
      </c>
      <c r="J86" s="14">
        <f t="shared" si="621"/>
        <v>0.1</v>
      </c>
      <c r="K86" s="14">
        <f t="shared" si="621"/>
        <v>0.1</v>
      </c>
      <c r="L86" s="14">
        <f t="shared" si="621"/>
        <v>0.1</v>
      </c>
      <c r="M86" s="14">
        <f t="shared" si="621"/>
        <v>0.1</v>
      </c>
      <c r="N86" s="14">
        <f t="shared" si="621"/>
        <v>0.1</v>
      </c>
      <c r="O86" s="14">
        <f t="shared" si="621"/>
        <v>0.1</v>
      </c>
      <c r="P86" s="14">
        <f t="shared" si="621"/>
        <v>0.1</v>
      </c>
      <c r="Q86" s="14">
        <f t="shared" si="621"/>
        <v>0.1</v>
      </c>
      <c r="R86" s="14">
        <f t="shared" si="621"/>
        <v>0.1</v>
      </c>
      <c r="S86" s="14">
        <f t="shared" si="621"/>
        <v>0.1</v>
      </c>
      <c r="T86" s="14">
        <f t="shared" si="621"/>
        <v>0.1</v>
      </c>
      <c r="U86" s="14">
        <f t="shared" si="621"/>
        <v>0.1</v>
      </c>
      <c r="V86" s="14">
        <f t="shared" si="621"/>
        <v>0.1</v>
      </c>
      <c r="W86" s="14">
        <f t="shared" si="621"/>
        <v>0.1</v>
      </c>
      <c r="X86" s="14">
        <f t="shared" si="621"/>
        <v>0.1</v>
      </c>
      <c r="Y86" s="14">
        <f t="shared" si="621"/>
        <v>0.1</v>
      </c>
      <c r="Z86" s="14">
        <f t="shared" si="621"/>
        <v>0.1</v>
      </c>
      <c r="AA86" s="14">
        <f t="shared" si="621"/>
        <v>0.1</v>
      </c>
      <c r="AB86" s="14">
        <f t="shared" si="621"/>
        <v>0.1</v>
      </c>
      <c r="AC86" s="14">
        <f t="shared" si="621"/>
        <v>0.1</v>
      </c>
      <c r="AD86" s="14">
        <f t="shared" si="621"/>
        <v>0.1</v>
      </c>
      <c r="AE86" s="14">
        <f t="shared" si="621"/>
        <v>0.1</v>
      </c>
      <c r="AF86" s="14">
        <f t="shared" si="621"/>
        <v>0.1</v>
      </c>
      <c r="AG86" s="14">
        <f t="shared" si="621"/>
        <v>0.1</v>
      </c>
      <c r="AH86" s="14">
        <f t="shared" si="621"/>
        <v>0.1</v>
      </c>
      <c r="AI86" s="14">
        <f>AH86</f>
        <v>0.1</v>
      </c>
      <c r="AK86" s="137"/>
      <c r="AL86" s="138"/>
      <c r="AM86" s="137"/>
      <c r="AN86" s="138"/>
      <c r="AO86" s="137"/>
      <c r="AP86" s="138"/>
      <c r="AQ86" s="137"/>
      <c r="AR86" s="138"/>
      <c r="AS86" s="137"/>
      <c r="AT86" s="137"/>
    </row>
    <row r="87" spans="1:46" s="136" customFormat="1" x14ac:dyDescent="0.2">
      <c r="A87" s="147" t="s">
        <v>106</v>
      </c>
      <c r="B87" s="697">
        <v>0</v>
      </c>
      <c r="C87" s="694">
        <f t="shared" ref="C87:AG87" si="622">IF(B89&gt;0,IF(C85-B85&gt;0,0,C86*C85),0)</f>
        <v>0</v>
      </c>
      <c r="D87" s="694">
        <f t="shared" si="622"/>
        <v>3060</v>
      </c>
      <c r="E87" s="694">
        <f t="shared" si="622"/>
        <v>3060</v>
      </c>
      <c r="F87" s="694">
        <f t="shared" si="622"/>
        <v>3060</v>
      </c>
      <c r="G87" s="694">
        <f t="shared" si="622"/>
        <v>3060</v>
      </c>
      <c r="H87" s="694">
        <f t="shared" si="622"/>
        <v>3060</v>
      </c>
      <c r="I87" s="694">
        <f t="shared" si="622"/>
        <v>3060</v>
      </c>
      <c r="J87" s="694">
        <f t="shared" si="622"/>
        <v>3060</v>
      </c>
      <c r="K87" s="694">
        <f t="shared" si="622"/>
        <v>3060</v>
      </c>
      <c r="L87" s="694">
        <f t="shared" si="622"/>
        <v>3060</v>
      </c>
      <c r="M87" s="694">
        <f t="shared" si="622"/>
        <v>3060</v>
      </c>
      <c r="N87" s="694">
        <f t="shared" si="622"/>
        <v>0</v>
      </c>
      <c r="O87" s="694">
        <f t="shared" si="622"/>
        <v>0</v>
      </c>
      <c r="P87" s="694">
        <f t="shared" si="622"/>
        <v>0</v>
      </c>
      <c r="Q87" s="694">
        <f t="shared" si="622"/>
        <v>0</v>
      </c>
      <c r="R87" s="694">
        <f t="shared" si="622"/>
        <v>0</v>
      </c>
      <c r="S87" s="694">
        <f t="shared" si="622"/>
        <v>0</v>
      </c>
      <c r="T87" s="694">
        <f t="shared" si="622"/>
        <v>0</v>
      </c>
      <c r="U87" s="694">
        <f t="shared" si="622"/>
        <v>0</v>
      </c>
      <c r="V87" s="694">
        <f t="shared" si="622"/>
        <v>0</v>
      </c>
      <c r="W87" s="694">
        <f t="shared" si="622"/>
        <v>0</v>
      </c>
      <c r="X87" s="694">
        <f t="shared" si="622"/>
        <v>0</v>
      </c>
      <c r="Y87" s="694">
        <f t="shared" si="622"/>
        <v>0</v>
      </c>
      <c r="Z87" s="694">
        <f t="shared" si="622"/>
        <v>0</v>
      </c>
      <c r="AA87" s="694">
        <f t="shared" si="622"/>
        <v>0</v>
      </c>
      <c r="AB87" s="694">
        <f t="shared" si="622"/>
        <v>0</v>
      </c>
      <c r="AC87" s="694">
        <f t="shared" si="622"/>
        <v>0</v>
      </c>
      <c r="AD87" s="694">
        <f t="shared" si="622"/>
        <v>0</v>
      </c>
      <c r="AE87" s="694">
        <f t="shared" si="622"/>
        <v>0</v>
      </c>
      <c r="AF87" s="694">
        <f t="shared" si="622"/>
        <v>0</v>
      </c>
      <c r="AG87" s="694">
        <f t="shared" si="622"/>
        <v>0</v>
      </c>
      <c r="AH87" s="694">
        <f>IF(AG89&gt;0,IF(AH85-AG85&gt;0,0,AH86*AH85),0)</f>
        <v>0</v>
      </c>
      <c r="AI87" s="694">
        <f>IF(AH89&gt;0,IF(AI85-AH85&gt;0,0,AI86*AI85),0)</f>
        <v>0</v>
      </c>
      <c r="AK87" s="137"/>
      <c r="AL87" s="138"/>
      <c r="AM87" s="137"/>
      <c r="AN87" s="138"/>
      <c r="AO87" s="137"/>
      <c r="AP87" s="138"/>
      <c r="AQ87" s="137"/>
      <c r="AR87" s="138"/>
      <c r="AS87" s="137"/>
      <c r="AT87" s="137"/>
    </row>
    <row r="88" spans="1:46" s="136" customFormat="1" x14ac:dyDescent="0.2">
      <c r="A88" s="147" t="s">
        <v>107</v>
      </c>
      <c r="B88" s="695">
        <f>B87</f>
        <v>0</v>
      </c>
      <c r="C88" s="694">
        <f t="shared" ref="C88:AG88" si="623">C87+B88</f>
        <v>0</v>
      </c>
      <c r="D88" s="700">
        <f>D87+C88</f>
        <v>3060</v>
      </c>
      <c r="E88" s="694">
        <f t="shared" si="623"/>
        <v>6120</v>
      </c>
      <c r="F88" s="694">
        <f t="shared" si="623"/>
        <v>9180</v>
      </c>
      <c r="G88" s="694">
        <f t="shared" si="623"/>
        <v>12240</v>
      </c>
      <c r="H88" s="694">
        <f t="shared" si="623"/>
        <v>15300</v>
      </c>
      <c r="I88" s="694">
        <f t="shared" si="623"/>
        <v>18360</v>
      </c>
      <c r="J88" s="694">
        <f t="shared" si="623"/>
        <v>21420</v>
      </c>
      <c r="K88" s="694">
        <f t="shared" si="623"/>
        <v>24480</v>
      </c>
      <c r="L88" s="694">
        <f t="shared" si="623"/>
        <v>27540</v>
      </c>
      <c r="M88" s="694">
        <f t="shared" si="623"/>
        <v>30600</v>
      </c>
      <c r="N88" s="694">
        <f t="shared" si="623"/>
        <v>30600</v>
      </c>
      <c r="O88" s="694">
        <f t="shared" si="623"/>
        <v>30600</v>
      </c>
      <c r="P88" s="694">
        <f t="shared" si="623"/>
        <v>30600</v>
      </c>
      <c r="Q88" s="694">
        <f>Q87+P88</f>
        <v>30600</v>
      </c>
      <c r="R88" s="694">
        <f>R87+Q88</f>
        <v>30600</v>
      </c>
      <c r="S88" s="694">
        <f t="shared" si="623"/>
        <v>30600</v>
      </c>
      <c r="T88" s="694">
        <f t="shared" si="623"/>
        <v>30600</v>
      </c>
      <c r="U88" s="694">
        <f t="shared" si="623"/>
        <v>30600</v>
      </c>
      <c r="V88" s="694">
        <f t="shared" si="623"/>
        <v>30600</v>
      </c>
      <c r="W88" s="694">
        <f t="shared" si="623"/>
        <v>30600</v>
      </c>
      <c r="X88" s="694">
        <f t="shared" si="623"/>
        <v>30600</v>
      </c>
      <c r="Y88" s="694">
        <f t="shared" si="623"/>
        <v>30600</v>
      </c>
      <c r="Z88" s="694">
        <f t="shared" si="623"/>
        <v>30600</v>
      </c>
      <c r="AA88" s="694">
        <f t="shared" si="623"/>
        <v>30600</v>
      </c>
      <c r="AB88" s="694">
        <f t="shared" si="623"/>
        <v>30600</v>
      </c>
      <c r="AC88" s="694">
        <f t="shared" si="623"/>
        <v>30600</v>
      </c>
      <c r="AD88" s="694">
        <f t="shared" si="623"/>
        <v>30600</v>
      </c>
      <c r="AE88" s="694">
        <f t="shared" si="623"/>
        <v>30600</v>
      </c>
      <c r="AF88" s="694">
        <f t="shared" si="623"/>
        <v>30600</v>
      </c>
      <c r="AG88" s="694">
        <f t="shared" si="623"/>
        <v>30600</v>
      </c>
      <c r="AH88" s="694">
        <f>AH87+AG88</f>
        <v>30600</v>
      </c>
      <c r="AI88" s="694">
        <f>AI87+AH88</f>
        <v>30600</v>
      </c>
      <c r="AK88" s="137"/>
      <c r="AL88" s="138"/>
      <c r="AM88" s="137"/>
      <c r="AN88" s="138"/>
      <c r="AO88" s="137"/>
      <c r="AP88" s="138"/>
      <c r="AQ88" s="137"/>
      <c r="AR88" s="138"/>
      <c r="AS88" s="137"/>
      <c r="AT88" s="137"/>
    </row>
    <row r="89" spans="1:46" s="136" customFormat="1" x14ac:dyDescent="0.2">
      <c r="A89" s="147" t="s">
        <v>108</v>
      </c>
      <c r="B89" s="695">
        <f t="shared" ref="B89:AG89" si="624">ROUND(IF(B85-B88&gt;0,B85-B88,0),0)</f>
        <v>0</v>
      </c>
      <c r="C89" s="694">
        <f t="shared" si="624"/>
        <v>30600</v>
      </c>
      <c r="D89" s="694">
        <f t="shared" si="624"/>
        <v>27540</v>
      </c>
      <c r="E89" s="694">
        <f t="shared" si="624"/>
        <v>24480</v>
      </c>
      <c r="F89" s="694">
        <f t="shared" si="624"/>
        <v>21420</v>
      </c>
      <c r="G89" s="694">
        <f t="shared" si="624"/>
        <v>18360</v>
      </c>
      <c r="H89" s="694">
        <f t="shared" si="624"/>
        <v>15300</v>
      </c>
      <c r="I89" s="694">
        <f t="shared" si="624"/>
        <v>12240</v>
      </c>
      <c r="J89" s="694">
        <f t="shared" si="624"/>
        <v>9180</v>
      </c>
      <c r="K89" s="694">
        <f t="shared" si="624"/>
        <v>6120</v>
      </c>
      <c r="L89" s="694">
        <f t="shared" si="624"/>
        <v>3060</v>
      </c>
      <c r="M89" s="694">
        <f t="shared" si="624"/>
        <v>0</v>
      </c>
      <c r="N89" s="694">
        <f t="shared" si="624"/>
        <v>0</v>
      </c>
      <c r="O89" s="694">
        <f t="shared" si="624"/>
        <v>0</v>
      </c>
      <c r="P89" s="694">
        <f t="shared" si="624"/>
        <v>0</v>
      </c>
      <c r="Q89" s="694">
        <f t="shared" si="624"/>
        <v>0</v>
      </c>
      <c r="R89" s="694">
        <f t="shared" si="624"/>
        <v>0</v>
      </c>
      <c r="S89" s="694">
        <f t="shared" si="624"/>
        <v>0</v>
      </c>
      <c r="T89" s="694">
        <f t="shared" si="624"/>
        <v>0</v>
      </c>
      <c r="U89" s="694">
        <f t="shared" si="624"/>
        <v>0</v>
      </c>
      <c r="V89" s="694">
        <f t="shared" si="624"/>
        <v>0</v>
      </c>
      <c r="W89" s="694">
        <f t="shared" si="624"/>
        <v>0</v>
      </c>
      <c r="X89" s="694">
        <f t="shared" si="624"/>
        <v>0</v>
      </c>
      <c r="Y89" s="694">
        <f t="shared" si="624"/>
        <v>0</v>
      </c>
      <c r="Z89" s="694">
        <f t="shared" si="624"/>
        <v>0</v>
      </c>
      <c r="AA89" s="694">
        <f t="shared" si="624"/>
        <v>0</v>
      </c>
      <c r="AB89" s="694">
        <f t="shared" si="624"/>
        <v>0</v>
      </c>
      <c r="AC89" s="694">
        <f t="shared" si="624"/>
        <v>0</v>
      </c>
      <c r="AD89" s="694">
        <f t="shared" si="624"/>
        <v>0</v>
      </c>
      <c r="AE89" s="694">
        <f t="shared" si="624"/>
        <v>0</v>
      </c>
      <c r="AF89" s="694">
        <f t="shared" si="624"/>
        <v>0</v>
      </c>
      <c r="AG89" s="694">
        <f t="shared" si="624"/>
        <v>0</v>
      </c>
      <c r="AH89" s="694">
        <f>ROUND(IF(AH85-AH88&gt;0,AH85-AH88,0),0)</f>
        <v>0</v>
      </c>
      <c r="AI89" s="694">
        <f>ROUND(IF(AI85-AI88&gt;0,AI85-AI88,0),0)</f>
        <v>0</v>
      </c>
      <c r="AK89" s="137"/>
      <c r="AL89" s="138"/>
      <c r="AM89" s="137"/>
      <c r="AN89" s="138"/>
      <c r="AO89" s="137"/>
      <c r="AP89" s="138"/>
      <c r="AQ89" s="137"/>
      <c r="AR89" s="138"/>
      <c r="AS89" s="137"/>
      <c r="AT89" s="137"/>
    </row>
    <row r="90" spans="1:46" s="136" customFormat="1" x14ac:dyDescent="0.2">
      <c r="A90" s="146" t="s">
        <v>10</v>
      </c>
      <c r="B90" s="698"/>
      <c r="C90" s="699"/>
      <c r="D90" s="699"/>
      <c r="E90" s="699"/>
      <c r="F90" s="699"/>
      <c r="G90" s="699"/>
      <c r="H90" s="699"/>
      <c r="I90" s="699"/>
      <c r="J90" s="699"/>
      <c r="K90" s="699"/>
      <c r="L90" s="699"/>
      <c r="M90" s="699"/>
      <c r="N90" s="699"/>
      <c r="O90" s="699"/>
      <c r="P90" s="699"/>
      <c r="Q90" s="699"/>
      <c r="R90" s="699"/>
      <c r="S90" s="699"/>
      <c r="T90" s="699"/>
      <c r="U90" s="699"/>
      <c r="V90" s="699"/>
      <c r="W90" s="699"/>
      <c r="X90" s="699"/>
      <c r="Y90" s="699"/>
      <c r="Z90" s="699"/>
      <c r="AA90" s="699"/>
      <c r="AB90" s="699"/>
      <c r="AC90" s="699"/>
      <c r="AD90" s="699"/>
      <c r="AE90" s="699"/>
      <c r="AF90" s="699"/>
      <c r="AG90" s="699"/>
      <c r="AH90" s="699"/>
      <c r="AI90" s="699"/>
      <c r="AK90" s="137"/>
      <c r="AL90" s="138"/>
      <c r="AM90" s="137"/>
      <c r="AN90" s="138"/>
      <c r="AO90" s="137"/>
      <c r="AP90" s="138"/>
      <c r="AQ90" s="137"/>
      <c r="AR90" s="138"/>
      <c r="AS90" s="137"/>
      <c r="AT90" s="137"/>
    </row>
    <row r="91" spans="1:46" s="136" customFormat="1" x14ac:dyDescent="0.2">
      <c r="A91" s="147" t="s">
        <v>104</v>
      </c>
      <c r="B91" s="696">
        <f>B141</f>
        <v>0</v>
      </c>
      <c r="C91" s="696">
        <f>C141+B91</f>
        <v>30600</v>
      </c>
      <c r="D91" s="696">
        <f t="shared" ref="D91:AI91" si="625">D141+C91</f>
        <v>30600</v>
      </c>
      <c r="E91" s="696">
        <f t="shared" si="625"/>
        <v>30600</v>
      </c>
      <c r="F91" s="696">
        <f t="shared" si="625"/>
        <v>30600</v>
      </c>
      <c r="G91" s="696">
        <f t="shared" si="625"/>
        <v>30600</v>
      </c>
      <c r="H91" s="696">
        <f t="shared" si="625"/>
        <v>30600</v>
      </c>
      <c r="I91" s="696">
        <f t="shared" si="625"/>
        <v>30600</v>
      </c>
      <c r="J91" s="696">
        <f t="shared" si="625"/>
        <v>30600</v>
      </c>
      <c r="K91" s="696">
        <f t="shared" si="625"/>
        <v>30600</v>
      </c>
      <c r="L91" s="696">
        <f t="shared" si="625"/>
        <v>30600</v>
      </c>
      <c r="M91" s="696">
        <f t="shared" si="625"/>
        <v>30600</v>
      </c>
      <c r="N91" s="696">
        <f t="shared" si="625"/>
        <v>30600</v>
      </c>
      <c r="O91" s="696">
        <f t="shared" si="625"/>
        <v>30600</v>
      </c>
      <c r="P91" s="696">
        <f t="shared" si="625"/>
        <v>30600</v>
      </c>
      <c r="Q91" s="696">
        <f t="shared" si="625"/>
        <v>30600</v>
      </c>
      <c r="R91" s="696">
        <f t="shared" si="625"/>
        <v>30600</v>
      </c>
      <c r="S91" s="696">
        <f t="shared" si="625"/>
        <v>30600</v>
      </c>
      <c r="T91" s="696">
        <f t="shared" si="625"/>
        <v>30600</v>
      </c>
      <c r="U91" s="696">
        <f t="shared" si="625"/>
        <v>30600</v>
      </c>
      <c r="V91" s="696">
        <f t="shared" si="625"/>
        <v>30600</v>
      </c>
      <c r="W91" s="696">
        <f t="shared" si="625"/>
        <v>30600</v>
      </c>
      <c r="X91" s="696">
        <f t="shared" si="625"/>
        <v>30600</v>
      </c>
      <c r="Y91" s="696">
        <f t="shared" si="625"/>
        <v>30600</v>
      </c>
      <c r="Z91" s="696">
        <f t="shared" si="625"/>
        <v>30600</v>
      </c>
      <c r="AA91" s="696">
        <f t="shared" si="625"/>
        <v>30600</v>
      </c>
      <c r="AB91" s="696">
        <f t="shared" si="625"/>
        <v>30600</v>
      </c>
      <c r="AC91" s="696">
        <f t="shared" si="625"/>
        <v>30600</v>
      </c>
      <c r="AD91" s="696">
        <f t="shared" si="625"/>
        <v>30600</v>
      </c>
      <c r="AE91" s="696">
        <f t="shared" si="625"/>
        <v>30600</v>
      </c>
      <c r="AF91" s="696">
        <f t="shared" si="625"/>
        <v>30600</v>
      </c>
      <c r="AG91" s="696">
        <f t="shared" si="625"/>
        <v>30600</v>
      </c>
      <c r="AH91" s="696">
        <f t="shared" si="625"/>
        <v>30600</v>
      </c>
      <c r="AI91" s="696">
        <f t="shared" si="625"/>
        <v>30600</v>
      </c>
      <c r="AK91" s="137"/>
      <c r="AL91" s="138"/>
      <c r="AM91" s="137"/>
      <c r="AN91" s="138"/>
      <c r="AO91" s="137"/>
      <c r="AP91" s="138"/>
      <c r="AQ91" s="137"/>
      <c r="AR91" s="138"/>
      <c r="AS91" s="137"/>
      <c r="AT91" s="137"/>
    </row>
    <row r="92" spans="1:46" s="136" customFormat="1" x14ac:dyDescent="0.2">
      <c r="A92" s="147" t="s">
        <v>105</v>
      </c>
      <c r="B92" s="35">
        <f>1/'Kopējie pieņēmumi'!$B$29</f>
        <v>0.1</v>
      </c>
      <c r="C92" s="14">
        <f>B92</f>
        <v>0.1</v>
      </c>
      <c r="D92" s="14">
        <f t="shared" ref="D92:AH92" si="626">C92</f>
        <v>0.1</v>
      </c>
      <c r="E92" s="14">
        <f t="shared" si="626"/>
        <v>0.1</v>
      </c>
      <c r="F92" s="14">
        <f t="shared" si="626"/>
        <v>0.1</v>
      </c>
      <c r="G92" s="14">
        <f t="shared" si="626"/>
        <v>0.1</v>
      </c>
      <c r="H92" s="14">
        <f t="shared" si="626"/>
        <v>0.1</v>
      </c>
      <c r="I92" s="14">
        <f t="shared" si="626"/>
        <v>0.1</v>
      </c>
      <c r="J92" s="14">
        <f t="shared" si="626"/>
        <v>0.1</v>
      </c>
      <c r="K92" s="14">
        <f t="shared" si="626"/>
        <v>0.1</v>
      </c>
      <c r="L92" s="14">
        <f t="shared" si="626"/>
        <v>0.1</v>
      </c>
      <c r="M92" s="14">
        <f t="shared" si="626"/>
        <v>0.1</v>
      </c>
      <c r="N92" s="14">
        <f t="shared" si="626"/>
        <v>0.1</v>
      </c>
      <c r="O92" s="14">
        <f t="shared" si="626"/>
        <v>0.1</v>
      </c>
      <c r="P92" s="14">
        <f t="shared" si="626"/>
        <v>0.1</v>
      </c>
      <c r="Q92" s="14">
        <f t="shared" si="626"/>
        <v>0.1</v>
      </c>
      <c r="R92" s="14">
        <f t="shared" si="626"/>
        <v>0.1</v>
      </c>
      <c r="S92" s="14">
        <f t="shared" si="626"/>
        <v>0.1</v>
      </c>
      <c r="T92" s="14">
        <f t="shared" si="626"/>
        <v>0.1</v>
      </c>
      <c r="U92" s="14">
        <f t="shared" si="626"/>
        <v>0.1</v>
      </c>
      <c r="V92" s="14">
        <f t="shared" si="626"/>
        <v>0.1</v>
      </c>
      <c r="W92" s="14">
        <f t="shared" si="626"/>
        <v>0.1</v>
      </c>
      <c r="X92" s="14">
        <f t="shared" si="626"/>
        <v>0.1</v>
      </c>
      <c r="Y92" s="14">
        <f t="shared" si="626"/>
        <v>0.1</v>
      </c>
      <c r="Z92" s="14">
        <f t="shared" si="626"/>
        <v>0.1</v>
      </c>
      <c r="AA92" s="14">
        <f t="shared" si="626"/>
        <v>0.1</v>
      </c>
      <c r="AB92" s="14">
        <f t="shared" si="626"/>
        <v>0.1</v>
      </c>
      <c r="AC92" s="14">
        <f t="shared" si="626"/>
        <v>0.1</v>
      </c>
      <c r="AD92" s="14">
        <f t="shared" si="626"/>
        <v>0.1</v>
      </c>
      <c r="AE92" s="14">
        <f t="shared" si="626"/>
        <v>0.1</v>
      </c>
      <c r="AF92" s="14">
        <f t="shared" si="626"/>
        <v>0.1</v>
      </c>
      <c r="AG92" s="14">
        <f t="shared" si="626"/>
        <v>0.1</v>
      </c>
      <c r="AH92" s="14">
        <f t="shared" si="626"/>
        <v>0.1</v>
      </c>
      <c r="AI92" s="14">
        <f>AH92</f>
        <v>0.1</v>
      </c>
      <c r="AK92" s="137"/>
      <c r="AL92" s="138"/>
      <c r="AM92" s="137"/>
      <c r="AN92" s="138"/>
      <c r="AO92" s="137"/>
      <c r="AP92" s="138"/>
      <c r="AQ92" s="137"/>
      <c r="AR92" s="138"/>
      <c r="AS92" s="137"/>
      <c r="AT92" s="137"/>
    </row>
    <row r="93" spans="1:46" s="136" customFormat="1" x14ac:dyDescent="0.2">
      <c r="A93" s="147" t="s">
        <v>106</v>
      </c>
      <c r="B93" s="697">
        <v>0</v>
      </c>
      <c r="C93" s="694">
        <f t="shared" ref="C93:AG93" si="627">IF(B95&gt;0,IF(C91-B91&gt;0,0,C92*C91),0)</f>
        <v>0</v>
      </c>
      <c r="D93" s="694">
        <f t="shared" si="627"/>
        <v>3060</v>
      </c>
      <c r="E93" s="694">
        <f t="shared" si="627"/>
        <v>3060</v>
      </c>
      <c r="F93" s="694">
        <f t="shared" si="627"/>
        <v>3060</v>
      </c>
      <c r="G93" s="694">
        <f t="shared" si="627"/>
        <v>3060</v>
      </c>
      <c r="H93" s="694">
        <f t="shared" si="627"/>
        <v>3060</v>
      </c>
      <c r="I93" s="694">
        <f t="shared" si="627"/>
        <v>3060</v>
      </c>
      <c r="J93" s="694">
        <f t="shared" si="627"/>
        <v>3060</v>
      </c>
      <c r="K93" s="694">
        <f t="shared" si="627"/>
        <v>3060</v>
      </c>
      <c r="L93" s="694">
        <f t="shared" si="627"/>
        <v>3060</v>
      </c>
      <c r="M93" s="694">
        <f t="shared" si="627"/>
        <v>3060</v>
      </c>
      <c r="N93" s="694">
        <f t="shared" si="627"/>
        <v>0</v>
      </c>
      <c r="O93" s="694">
        <f t="shared" si="627"/>
        <v>0</v>
      </c>
      <c r="P93" s="694">
        <f t="shared" si="627"/>
        <v>0</v>
      </c>
      <c r="Q93" s="694">
        <f t="shared" si="627"/>
        <v>0</v>
      </c>
      <c r="R93" s="694">
        <f t="shared" si="627"/>
        <v>0</v>
      </c>
      <c r="S93" s="694">
        <f t="shared" si="627"/>
        <v>0</v>
      </c>
      <c r="T93" s="694">
        <f t="shared" si="627"/>
        <v>0</v>
      </c>
      <c r="U93" s="694">
        <f t="shared" si="627"/>
        <v>0</v>
      </c>
      <c r="V93" s="694">
        <f t="shared" si="627"/>
        <v>0</v>
      </c>
      <c r="W93" s="694">
        <f t="shared" si="627"/>
        <v>0</v>
      </c>
      <c r="X93" s="694">
        <f t="shared" si="627"/>
        <v>0</v>
      </c>
      <c r="Y93" s="694">
        <f t="shared" si="627"/>
        <v>0</v>
      </c>
      <c r="Z93" s="694">
        <f t="shared" si="627"/>
        <v>0</v>
      </c>
      <c r="AA93" s="694">
        <f t="shared" si="627"/>
        <v>0</v>
      </c>
      <c r="AB93" s="694">
        <f t="shared" si="627"/>
        <v>0</v>
      </c>
      <c r="AC93" s="694">
        <f t="shared" si="627"/>
        <v>0</v>
      </c>
      <c r="AD93" s="694">
        <f t="shared" si="627"/>
        <v>0</v>
      </c>
      <c r="AE93" s="694">
        <f t="shared" si="627"/>
        <v>0</v>
      </c>
      <c r="AF93" s="694">
        <f t="shared" si="627"/>
        <v>0</v>
      </c>
      <c r="AG93" s="694">
        <f t="shared" si="627"/>
        <v>0</v>
      </c>
      <c r="AH93" s="694">
        <f>IF(AG95&gt;0,IF(AH91-AG91&gt;0,0,AH92*AH91),0)</f>
        <v>0</v>
      </c>
      <c r="AI93" s="694">
        <f>IF(AH95&gt;0,IF(AI91-AH91&gt;0,0,AI92*AI91),0)</f>
        <v>0</v>
      </c>
      <c r="AK93" s="137"/>
      <c r="AL93" s="138"/>
      <c r="AM93" s="137"/>
      <c r="AN93" s="138"/>
      <c r="AO93" s="137"/>
      <c r="AP93" s="138"/>
      <c r="AQ93" s="137"/>
      <c r="AR93" s="138"/>
      <c r="AS93" s="137"/>
      <c r="AT93" s="137"/>
    </row>
    <row r="94" spans="1:46" s="136" customFormat="1" x14ac:dyDescent="0.2">
      <c r="A94" s="147" t="s">
        <v>107</v>
      </c>
      <c r="B94" s="695">
        <f>B93</f>
        <v>0</v>
      </c>
      <c r="C94" s="694">
        <f t="shared" ref="C94:AG94" si="628">C93+B94</f>
        <v>0</v>
      </c>
      <c r="D94" s="694">
        <f t="shared" si="628"/>
        <v>3060</v>
      </c>
      <c r="E94" s="694">
        <f t="shared" si="628"/>
        <v>6120</v>
      </c>
      <c r="F94" s="694">
        <f t="shared" si="628"/>
        <v>9180</v>
      </c>
      <c r="G94" s="694">
        <f t="shared" si="628"/>
        <v>12240</v>
      </c>
      <c r="H94" s="694">
        <f t="shared" si="628"/>
        <v>15300</v>
      </c>
      <c r="I94" s="694">
        <f t="shared" si="628"/>
        <v>18360</v>
      </c>
      <c r="J94" s="694">
        <f t="shared" si="628"/>
        <v>21420</v>
      </c>
      <c r="K94" s="694">
        <f t="shared" si="628"/>
        <v>24480</v>
      </c>
      <c r="L94" s="694">
        <f t="shared" si="628"/>
        <v>27540</v>
      </c>
      <c r="M94" s="694">
        <f t="shared" si="628"/>
        <v>30600</v>
      </c>
      <c r="N94" s="694">
        <f t="shared" si="628"/>
        <v>30600</v>
      </c>
      <c r="O94" s="694">
        <f t="shared" si="628"/>
        <v>30600</v>
      </c>
      <c r="P94" s="694">
        <f t="shared" si="628"/>
        <v>30600</v>
      </c>
      <c r="Q94" s="694">
        <f t="shared" si="628"/>
        <v>30600</v>
      </c>
      <c r="R94" s="694">
        <f t="shared" si="628"/>
        <v>30600</v>
      </c>
      <c r="S94" s="694">
        <f t="shared" si="628"/>
        <v>30600</v>
      </c>
      <c r="T94" s="694">
        <f t="shared" si="628"/>
        <v>30600</v>
      </c>
      <c r="U94" s="694">
        <f t="shared" si="628"/>
        <v>30600</v>
      </c>
      <c r="V94" s="694">
        <f t="shared" si="628"/>
        <v>30600</v>
      </c>
      <c r="W94" s="694">
        <f t="shared" si="628"/>
        <v>30600</v>
      </c>
      <c r="X94" s="694">
        <f t="shared" si="628"/>
        <v>30600</v>
      </c>
      <c r="Y94" s="694">
        <f t="shared" si="628"/>
        <v>30600</v>
      </c>
      <c r="Z94" s="694">
        <f t="shared" si="628"/>
        <v>30600</v>
      </c>
      <c r="AA94" s="694">
        <f t="shared" si="628"/>
        <v>30600</v>
      </c>
      <c r="AB94" s="694">
        <f t="shared" si="628"/>
        <v>30600</v>
      </c>
      <c r="AC94" s="694">
        <f t="shared" si="628"/>
        <v>30600</v>
      </c>
      <c r="AD94" s="694">
        <f t="shared" si="628"/>
        <v>30600</v>
      </c>
      <c r="AE94" s="694">
        <f t="shared" si="628"/>
        <v>30600</v>
      </c>
      <c r="AF94" s="694">
        <f t="shared" si="628"/>
        <v>30600</v>
      </c>
      <c r="AG94" s="694">
        <f t="shared" si="628"/>
        <v>30600</v>
      </c>
      <c r="AH94" s="694">
        <f>AH93+AG94</f>
        <v>30600</v>
      </c>
      <c r="AI94" s="694">
        <f>AI93+AH94</f>
        <v>30600</v>
      </c>
      <c r="AK94" s="137"/>
      <c r="AL94" s="138"/>
      <c r="AM94" s="137"/>
      <c r="AN94" s="138"/>
      <c r="AO94" s="137"/>
      <c r="AP94" s="138"/>
      <c r="AQ94" s="137"/>
      <c r="AR94" s="138"/>
      <c r="AS94" s="137"/>
      <c r="AT94" s="137"/>
    </row>
    <row r="95" spans="1:46" s="136" customFormat="1" x14ac:dyDescent="0.2">
      <c r="A95" s="147" t="s">
        <v>108</v>
      </c>
      <c r="B95" s="695">
        <f t="shared" ref="B95:AG95" si="629">ROUND(IF(B91-B94&gt;0,B91-B94,0),0)</f>
        <v>0</v>
      </c>
      <c r="C95" s="694">
        <f t="shared" si="629"/>
        <v>30600</v>
      </c>
      <c r="D95" s="694">
        <f t="shared" si="629"/>
        <v>27540</v>
      </c>
      <c r="E95" s="694">
        <f t="shared" si="629"/>
        <v>24480</v>
      </c>
      <c r="F95" s="694">
        <f t="shared" si="629"/>
        <v>21420</v>
      </c>
      <c r="G95" s="694">
        <f t="shared" si="629"/>
        <v>18360</v>
      </c>
      <c r="H95" s="694">
        <f t="shared" si="629"/>
        <v>15300</v>
      </c>
      <c r="I95" s="694">
        <f t="shared" si="629"/>
        <v>12240</v>
      </c>
      <c r="J95" s="694">
        <f t="shared" si="629"/>
        <v>9180</v>
      </c>
      <c r="K95" s="694">
        <f t="shared" si="629"/>
        <v>6120</v>
      </c>
      <c r="L95" s="694">
        <f t="shared" si="629"/>
        <v>3060</v>
      </c>
      <c r="M95" s="694">
        <f t="shared" si="629"/>
        <v>0</v>
      </c>
      <c r="N95" s="694">
        <f t="shared" si="629"/>
        <v>0</v>
      </c>
      <c r="O95" s="694">
        <f t="shared" si="629"/>
        <v>0</v>
      </c>
      <c r="P95" s="694">
        <f t="shared" si="629"/>
        <v>0</v>
      </c>
      <c r="Q95" s="694">
        <f t="shared" si="629"/>
        <v>0</v>
      </c>
      <c r="R95" s="694">
        <f t="shared" si="629"/>
        <v>0</v>
      </c>
      <c r="S95" s="694">
        <f t="shared" si="629"/>
        <v>0</v>
      </c>
      <c r="T95" s="694">
        <f t="shared" si="629"/>
        <v>0</v>
      </c>
      <c r="U95" s="694">
        <f t="shared" si="629"/>
        <v>0</v>
      </c>
      <c r="V95" s="694">
        <f t="shared" si="629"/>
        <v>0</v>
      </c>
      <c r="W95" s="694">
        <f t="shared" si="629"/>
        <v>0</v>
      </c>
      <c r="X95" s="694">
        <f t="shared" si="629"/>
        <v>0</v>
      </c>
      <c r="Y95" s="694">
        <f t="shared" si="629"/>
        <v>0</v>
      </c>
      <c r="Z95" s="694">
        <f t="shared" si="629"/>
        <v>0</v>
      </c>
      <c r="AA95" s="694">
        <f t="shared" si="629"/>
        <v>0</v>
      </c>
      <c r="AB95" s="694">
        <f t="shared" si="629"/>
        <v>0</v>
      </c>
      <c r="AC95" s="694">
        <f t="shared" si="629"/>
        <v>0</v>
      </c>
      <c r="AD95" s="694">
        <f t="shared" si="629"/>
        <v>0</v>
      </c>
      <c r="AE95" s="694">
        <f t="shared" si="629"/>
        <v>0</v>
      </c>
      <c r="AF95" s="694">
        <f t="shared" si="629"/>
        <v>0</v>
      </c>
      <c r="AG95" s="694">
        <f t="shared" si="629"/>
        <v>0</v>
      </c>
      <c r="AH95" s="694">
        <f>ROUND(IF(AH91-AH94&gt;0,AH91-AH94,0),0)</f>
        <v>0</v>
      </c>
      <c r="AI95" s="694">
        <f>ROUND(IF(AI91-AI94&gt;0,AI91-AI94,0),0)</f>
        <v>0</v>
      </c>
      <c r="AK95" s="137"/>
      <c r="AL95" s="138"/>
      <c r="AM95" s="137"/>
      <c r="AN95" s="138"/>
      <c r="AO95" s="137"/>
      <c r="AP95" s="138"/>
      <c r="AQ95" s="137"/>
      <c r="AR95" s="138"/>
      <c r="AS95" s="137"/>
      <c r="AT95" s="137"/>
    </row>
    <row r="96" spans="1:46" s="136" customFormat="1" x14ac:dyDescent="0.2">
      <c r="A96" s="148"/>
      <c r="B96" s="699"/>
      <c r="C96" s="699"/>
      <c r="D96" s="699"/>
      <c r="E96" s="699"/>
      <c r="F96" s="699"/>
      <c r="G96" s="699"/>
      <c r="H96" s="699"/>
      <c r="I96" s="699"/>
      <c r="J96" s="699"/>
      <c r="K96" s="699"/>
      <c r="L96" s="699"/>
      <c r="M96" s="699"/>
      <c r="N96" s="699"/>
      <c r="O96" s="699"/>
      <c r="P96" s="699"/>
      <c r="Q96" s="699"/>
      <c r="R96" s="699"/>
      <c r="S96" s="699"/>
      <c r="T96" s="699"/>
      <c r="U96" s="699"/>
      <c r="V96" s="699"/>
      <c r="W96" s="699"/>
      <c r="X96" s="699"/>
      <c r="Y96" s="699"/>
      <c r="Z96" s="699"/>
      <c r="AA96" s="699"/>
      <c r="AB96" s="699"/>
      <c r="AC96" s="699"/>
      <c r="AD96" s="699"/>
      <c r="AE96" s="699"/>
      <c r="AF96" s="699"/>
      <c r="AG96" s="699"/>
      <c r="AH96" s="699"/>
      <c r="AI96" s="699"/>
      <c r="AK96" s="137"/>
      <c r="AL96" s="138"/>
      <c r="AM96" s="137"/>
      <c r="AN96" s="138"/>
      <c r="AO96" s="137"/>
      <c r="AP96" s="138"/>
      <c r="AQ96" s="137"/>
      <c r="AR96" s="138"/>
      <c r="AS96" s="137"/>
      <c r="AT96" s="137"/>
    </row>
    <row r="97" spans="1:46" s="136" customFormat="1" x14ac:dyDescent="0.2">
      <c r="A97" s="149" t="s">
        <v>109</v>
      </c>
      <c r="B97" s="701"/>
      <c r="C97" s="701"/>
      <c r="D97" s="701"/>
      <c r="E97" s="701"/>
      <c r="F97" s="701"/>
      <c r="G97" s="701"/>
      <c r="H97" s="701"/>
      <c r="I97" s="699"/>
      <c r="J97" s="699"/>
      <c r="K97" s="699"/>
      <c r="L97" s="699"/>
      <c r="M97" s="699"/>
      <c r="N97" s="699"/>
      <c r="O97" s="699"/>
      <c r="P97" s="699"/>
      <c r="Q97" s="699"/>
      <c r="R97" s="699"/>
      <c r="S97" s="699"/>
      <c r="T97" s="699"/>
      <c r="U97" s="699"/>
      <c r="V97" s="699"/>
      <c r="W97" s="699"/>
      <c r="X97" s="699"/>
      <c r="Y97" s="699"/>
      <c r="Z97" s="699"/>
      <c r="AA97" s="699"/>
      <c r="AB97" s="699"/>
      <c r="AC97" s="699"/>
      <c r="AD97" s="699"/>
      <c r="AE97" s="699"/>
      <c r="AF97" s="699"/>
      <c r="AG97" s="699"/>
      <c r="AH97" s="699"/>
      <c r="AI97" s="699"/>
      <c r="AK97" s="137"/>
      <c r="AL97" s="138"/>
      <c r="AM97" s="137"/>
      <c r="AN97" s="138"/>
      <c r="AO97" s="137"/>
      <c r="AP97" s="138"/>
      <c r="AQ97" s="137"/>
      <c r="AR97" s="138"/>
      <c r="AS97" s="137"/>
      <c r="AT97" s="137"/>
    </row>
    <row r="98" spans="1:46" s="136" customFormat="1" x14ac:dyDescent="0.2">
      <c r="A98" s="146" t="s">
        <v>8</v>
      </c>
      <c r="B98" s="699"/>
      <c r="C98" s="699"/>
      <c r="D98" s="699"/>
      <c r="E98" s="699"/>
      <c r="F98" s="699"/>
      <c r="G98" s="699"/>
      <c r="H98" s="699"/>
      <c r="I98" s="699"/>
      <c r="J98" s="699"/>
      <c r="K98" s="699"/>
      <c r="L98" s="699"/>
      <c r="M98" s="699"/>
      <c r="N98" s="699"/>
      <c r="O98" s="699"/>
      <c r="P98" s="699"/>
      <c r="Q98" s="699"/>
      <c r="R98" s="699"/>
      <c r="S98" s="699"/>
      <c r="T98" s="699"/>
      <c r="U98" s="699"/>
      <c r="V98" s="699"/>
      <c r="W98" s="699"/>
      <c r="X98" s="699"/>
      <c r="Y98" s="699"/>
      <c r="Z98" s="699"/>
      <c r="AA98" s="699"/>
      <c r="AB98" s="699"/>
      <c r="AC98" s="699"/>
      <c r="AD98" s="699"/>
      <c r="AE98" s="699"/>
      <c r="AF98" s="699"/>
      <c r="AG98" s="699"/>
      <c r="AH98" s="699"/>
      <c r="AI98" s="699"/>
      <c r="AK98" s="137"/>
      <c r="AL98" s="138"/>
      <c r="AM98" s="137"/>
      <c r="AN98" s="138"/>
      <c r="AO98" s="137"/>
      <c r="AP98" s="138"/>
      <c r="AQ98" s="137"/>
      <c r="AR98" s="138"/>
      <c r="AS98" s="137"/>
      <c r="AT98" s="137"/>
    </row>
    <row r="99" spans="1:46" s="136" customFormat="1" x14ac:dyDescent="0.2">
      <c r="A99" s="147" t="s">
        <v>104</v>
      </c>
      <c r="B99" s="695">
        <f>B144</f>
        <v>0</v>
      </c>
      <c r="C99" s="695">
        <f>C144+B99</f>
        <v>56100</v>
      </c>
      <c r="D99" s="695">
        <f t="shared" ref="D99:AI99" si="630">D144+C99</f>
        <v>92500</v>
      </c>
      <c r="E99" s="695">
        <f t="shared" si="630"/>
        <v>92500</v>
      </c>
      <c r="F99" s="695">
        <f t="shared" si="630"/>
        <v>92500</v>
      </c>
      <c r="G99" s="695">
        <f t="shared" si="630"/>
        <v>92500</v>
      </c>
      <c r="H99" s="695">
        <f t="shared" si="630"/>
        <v>92500</v>
      </c>
      <c r="I99" s="695">
        <f t="shared" si="630"/>
        <v>92500</v>
      </c>
      <c r="J99" s="695">
        <f t="shared" si="630"/>
        <v>92500</v>
      </c>
      <c r="K99" s="695">
        <f t="shared" si="630"/>
        <v>92500</v>
      </c>
      <c r="L99" s="695">
        <f t="shared" si="630"/>
        <v>92500</v>
      </c>
      <c r="M99" s="695">
        <f t="shared" si="630"/>
        <v>92500</v>
      </c>
      <c r="N99" s="695">
        <f t="shared" si="630"/>
        <v>92500</v>
      </c>
      <c r="O99" s="695">
        <f t="shared" si="630"/>
        <v>92500</v>
      </c>
      <c r="P99" s="695">
        <f t="shared" si="630"/>
        <v>92500</v>
      </c>
      <c r="Q99" s="695">
        <f t="shared" si="630"/>
        <v>92500</v>
      </c>
      <c r="R99" s="695">
        <f t="shared" si="630"/>
        <v>92500</v>
      </c>
      <c r="S99" s="695">
        <f t="shared" si="630"/>
        <v>92500</v>
      </c>
      <c r="T99" s="695">
        <f t="shared" si="630"/>
        <v>92500</v>
      </c>
      <c r="U99" s="695">
        <f t="shared" si="630"/>
        <v>92500</v>
      </c>
      <c r="V99" s="695">
        <f t="shared" si="630"/>
        <v>92500</v>
      </c>
      <c r="W99" s="695">
        <f t="shared" si="630"/>
        <v>92500</v>
      </c>
      <c r="X99" s="695">
        <f t="shared" si="630"/>
        <v>92500</v>
      </c>
      <c r="Y99" s="695">
        <f t="shared" si="630"/>
        <v>92500</v>
      </c>
      <c r="Z99" s="695">
        <f t="shared" si="630"/>
        <v>92500</v>
      </c>
      <c r="AA99" s="695">
        <f t="shared" si="630"/>
        <v>92500</v>
      </c>
      <c r="AB99" s="695">
        <f t="shared" si="630"/>
        <v>92500</v>
      </c>
      <c r="AC99" s="695">
        <f t="shared" si="630"/>
        <v>92500</v>
      </c>
      <c r="AD99" s="695">
        <f t="shared" si="630"/>
        <v>92500</v>
      </c>
      <c r="AE99" s="695">
        <f t="shared" si="630"/>
        <v>92500</v>
      </c>
      <c r="AF99" s="695">
        <f t="shared" si="630"/>
        <v>92500</v>
      </c>
      <c r="AG99" s="695">
        <f t="shared" si="630"/>
        <v>92500</v>
      </c>
      <c r="AH99" s="695">
        <f t="shared" si="630"/>
        <v>92500</v>
      </c>
      <c r="AI99" s="695">
        <f t="shared" si="630"/>
        <v>92500</v>
      </c>
      <c r="AL99" s="113"/>
      <c r="AN99" s="133"/>
      <c r="AO99" s="112"/>
      <c r="AP99" s="133"/>
      <c r="AQ99" s="112"/>
      <c r="AR99" s="133"/>
    </row>
    <row r="100" spans="1:46" s="136" customFormat="1" x14ac:dyDescent="0.2">
      <c r="A100" s="147" t="s">
        <v>105</v>
      </c>
      <c r="B100" s="35">
        <f>1/'Kopējie pieņēmumi'!$B$27</f>
        <v>0.02</v>
      </c>
      <c r="C100" s="14">
        <f>B100</f>
        <v>0.02</v>
      </c>
      <c r="D100" s="14">
        <f t="shared" ref="D100:AH100" si="631">C100</f>
        <v>0.02</v>
      </c>
      <c r="E100" s="14">
        <f t="shared" si="631"/>
        <v>0.02</v>
      </c>
      <c r="F100" s="14">
        <f t="shared" si="631"/>
        <v>0.02</v>
      </c>
      <c r="G100" s="14">
        <f t="shared" si="631"/>
        <v>0.02</v>
      </c>
      <c r="H100" s="14">
        <f t="shared" si="631"/>
        <v>0.02</v>
      </c>
      <c r="I100" s="14">
        <f t="shared" si="631"/>
        <v>0.02</v>
      </c>
      <c r="J100" s="14">
        <f t="shared" si="631"/>
        <v>0.02</v>
      </c>
      <c r="K100" s="14">
        <f t="shared" si="631"/>
        <v>0.02</v>
      </c>
      <c r="L100" s="14">
        <f t="shared" si="631"/>
        <v>0.02</v>
      </c>
      <c r="M100" s="14">
        <f t="shared" si="631"/>
        <v>0.02</v>
      </c>
      <c r="N100" s="14">
        <f t="shared" si="631"/>
        <v>0.02</v>
      </c>
      <c r="O100" s="14">
        <f t="shared" si="631"/>
        <v>0.02</v>
      </c>
      <c r="P100" s="14">
        <f t="shared" si="631"/>
        <v>0.02</v>
      </c>
      <c r="Q100" s="14">
        <f t="shared" si="631"/>
        <v>0.02</v>
      </c>
      <c r="R100" s="14">
        <f t="shared" si="631"/>
        <v>0.02</v>
      </c>
      <c r="S100" s="14">
        <f t="shared" si="631"/>
        <v>0.02</v>
      </c>
      <c r="T100" s="14">
        <f t="shared" si="631"/>
        <v>0.02</v>
      </c>
      <c r="U100" s="14">
        <f t="shared" si="631"/>
        <v>0.02</v>
      </c>
      <c r="V100" s="14">
        <f t="shared" si="631"/>
        <v>0.02</v>
      </c>
      <c r="W100" s="14">
        <f t="shared" si="631"/>
        <v>0.02</v>
      </c>
      <c r="X100" s="14">
        <f t="shared" si="631"/>
        <v>0.02</v>
      </c>
      <c r="Y100" s="14">
        <f t="shared" si="631"/>
        <v>0.02</v>
      </c>
      <c r="Z100" s="14">
        <f t="shared" si="631"/>
        <v>0.02</v>
      </c>
      <c r="AA100" s="14">
        <f t="shared" si="631"/>
        <v>0.02</v>
      </c>
      <c r="AB100" s="14">
        <f t="shared" si="631"/>
        <v>0.02</v>
      </c>
      <c r="AC100" s="14">
        <f t="shared" si="631"/>
        <v>0.02</v>
      </c>
      <c r="AD100" s="14">
        <f t="shared" si="631"/>
        <v>0.02</v>
      </c>
      <c r="AE100" s="14">
        <f t="shared" si="631"/>
        <v>0.02</v>
      </c>
      <c r="AF100" s="14">
        <f t="shared" si="631"/>
        <v>0.02</v>
      </c>
      <c r="AG100" s="14">
        <f t="shared" si="631"/>
        <v>0.02</v>
      </c>
      <c r="AH100" s="14">
        <f t="shared" si="631"/>
        <v>0.02</v>
      </c>
      <c r="AI100" s="14">
        <f>AH100</f>
        <v>0.02</v>
      </c>
      <c r="AL100" s="113"/>
      <c r="AN100" s="133"/>
      <c r="AO100" s="112"/>
      <c r="AP100" s="133"/>
      <c r="AQ100" s="112"/>
      <c r="AR100" s="133"/>
    </row>
    <row r="101" spans="1:46" s="136" customFormat="1" x14ac:dyDescent="0.2">
      <c r="A101" s="147" t="s">
        <v>106</v>
      </c>
      <c r="B101" s="697">
        <v>0</v>
      </c>
      <c r="C101" s="694">
        <f t="shared" ref="C101:AG101" si="632">IF(B103&gt;0,IF(C99-B99&gt;0,0,C100*C99),0)</f>
        <v>0</v>
      </c>
      <c r="D101" s="694">
        <f t="shared" si="632"/>
        <v>0</v>
      </c>
      <c r="E101" s="694">
        <f t="shared" si="632"/>
        <v>1850</v>
      </c>
      <c r="F101" s="694">
        <f t="shared" si="632"/>
        <v>1850</v>
      </c>
      <c r="G101" s="694">
        <f t="shared" si="632"/>
        <v>1850</v>
      </c>
      <c r="H101" s="694">
        <f t="shared" si="632"/>
        <v>1850</v>
      </c>
      <c r="I101" s="694">
        <f t="shared" si="632"/>
        <v>1850</v>
      </c>
      <c r="J101" s="694">
        <f t="shared" si="632"/>
        <v>1850</v>
      </c>
      <c r="K101" s="694">
        <f t="shared" si="632"/>
        <v>1850</v>
      </c>
      <c r="L101" s="694">
        <f t="shared" si="632"/>
        <v>1850</v>
      </c>
      <c r="M101" s="694">
        <f t="shared" si="632"/>
        <v>1850</v>
      </c>
      <c r="N101" s="694">
        <f t="shared" si="632"/>
        <v>1850</v>
      </c>
      <c r="O101" s="694">
        <f t="shared" si="632"/>
        <v>1850</v>
      </c>
      <c r="P101" s="694">
        <f t="shared" si="632"/>
        <v>1850</v>
      </c>
      <c r="Q101" s="694">
        <f t="shared" si="632"/>
        <v>1850</v>
      </c>
      <c r="R101" s="694">
        <f t="shared" si="632"/>
        <v>1850</v>
      </c>
      <c r="S101" s="694">
        <f t="shared" si="632"/>
        <v>1850</v>
      </c>
      <c r="T101" s="694">
        <f t="shared" si="632"/>
        <v>1850</v>
      </c>
      <c r="U101" s="694">
        <f t="shared" si="632"/>
        <v>1850</v>
      </c>
      <c r="V101" s="694">
        <f t="shared" si="632"/>
        <v>1850</v>
      </c>
      <c r="W101" s="694">
        <f t="shared" si="632"/>
        <v>1850</v>
      </c>
      <c r="X101" s="694">
        <f t="shared" si="632"/>
        <v>1850</v>
      </c>
      <c r="Y101" s="694">
        <f t="shared" si="632"/>
        <v>1850</v>
      </c>
      <c r="Z101" s="694">
        <f t="shared" si="632"/>
        <v>1850</v>
      </c>
      <c r="AA101" s="694">
        <f t="shared" si="632"/>
        <v>1850</v>
      </c>
      <c r="AB101" s="694">
        <f t="shared" si="632"/>
        <v>1850</v>
      </c>
      <c r="AC101" s="694">
        <f t="shared" si="632"/>
        <v>1850</v>
      </c>
      <c r="AD101" s="694">
        <f t="shared" si="632"/>
        <v>1850</v>
      </c>
      <c r="AE101" s="694">
        <f t="shared" si="632"/>
        <v>1850</v>
      </c>
      <c r="AF101" s="694">
        <f t="shared" si="632"/>
        <v>1850</v>
      </c>
      <c r="AG101" s="694">
        <f t="shared" si="632"/>
        <v>1850</v>
      </c>
      <c r="AH101" s="694">
        <f>IF(AG103&gt;0,IF(AH99-AG99&gt;0,0,AH100*AH99),0)</f>
        <v>1850</v>
      </c>
      <c r="AI101" s="694">
        <f>IF(AH103&gt;0,IF(AI99-AH99&gt;0,0,AI100*AI99),0)</f>
        <v>1850</v>
      </c>
      <c r="AL101" s="113"/>
      <c r="AN101" s="133"/>
      <c r="AO101" s="112"/>
      <c r="AP101" s="133"/>
      <c r="AQ101" s="112"/>
      <c r="AR101" s="133"/>
    </row>
    <row r="102" spans="1:46" s="136" customFormat="1" x14ac:dyDescent="0.2">
      <c r="A102" s="147" t="s">
        <v>107</v>
      </c>
      <c r="B102" s="695">
        <f>B101</f>
        <v>0</v>
      </c>
      <c r="C102" s="694">
        <f t="shared" ref="C102:AG102" si="633">C101+B102</f>
        <v>0</v>
      </c>
      <c r="D102" s="694">
        <f t="shared" si="633"/>
        <v>0</v>
      </c>
      <c r="E102" s="694">
        <f t="shared" si="633"/>
        <v>1850</v>
      </c>
      <c r="F102" s="694">
        <f t="shared" si="633"/>
        <v>3700</v>
      </c>
      <c r="G102" s="694">
        <f t="shared" si="633"/>
        <v>5550</v>
      </c>
      <c r="H102" s="694">
        <f t="shared" si="633"/>
        <v>7400</v>
      </c>
      <c r="I102" s="694">
        <f t="shared" si="633"/>
        <v>9250</v>
      </c>
      <c r="J102" s="694">
        <f t="shared" si="633"/>
        <v>11100</v>
      </c>
      <c r="K102" s="694">
        <f t="shared" si="633"/>
        <v>12950</v>
      </c>
      <c r="L102" s="694">
        <f t="shared" si="633"/>
        <v>14800</v>
      </c>
      <c r="M102" s="694">
        <f t="shared" si="633"/>
        <v>16650</v>
      </c>
      <c r="N102" s="694">
        <f t="shared" si="633"/>
        <v>18500</v>
      </c>
      <c r="O102" s="694">
        <f t="shared" si="633"/>
        <v>20350</v>
      </c>
      <c r="P102" s="694">
        <f t="shared" si="633"/>
        <v>22200</v>
      </c>
      <c r="Q102" s="694">
        <f t="shared" si="633"/>
        <v>24050</v>
      </c>
      <c r="R102" s="694">
        <f t="shared" si="633"/>
        <v>25900</v>
      </c>
      <c r="S102" s="694">
        <f t="shared" si="633"/>
        <v>27750</v>
      </c>
      <c r="T102" s="694">
        <f t="shared" si="633"/>
        <v>29600</v>
      </c>
      <c r="U102" s="694">
        <f t="shared" si="633"/>
        <v>31450</v>
      </c>
      <c r="V102" s="694">
        <f t="shared" si="633"/>
        <v>33300</v>
      </c>
      <c r="W102" s="694">
        <f t="shared" si="633"/>
        <v>35150</v>
      </c>
      <c r="X102" s="694">
        <f t="shared" si="633"/>
        <v>37000</v>
      </c>
      <c r="Y102" s="694">
        <f t="shared" si="633"/>
        <v>38850</v>
      </c>
      <c r="Z102" s="694">
        <f t="shared" si="633"/>
        <v>40700</v>
      </c>
      <c r="AA102" s="694">
        <f t="shared" si="633"/>
        <v>42550</v>
      </c>
      <c r="AB102" s="694">
        <f t="shared" si="633"/>
        <v>44400</v>
      </c>
      <c r="AC102" s="694">
        <f t="shared" si="633"/>
        <v>46250</v>
      </c>
      <c r="AD102" s="694">
        <f t="shared" si="633"/>
        <v>48100</v>
      </c>
      <c r="AE102" s="694">
        <f t="shared" si="633"/>
        <v>49950</v>
      </c>
      <c r="AF102" s="694">
        <f t="shared" si="633"/>
        <v>51800</v>
      </c>
      <c r="AG102" s="694">
        <f t="shared" si="633"/>
        <v>53650</v>
      </c>
      <c r="AH102" s="694">
        <f>AH101+AG102</f>
        <v>55500</v>
      </c>
      <c r="AI102" s="694">
        <f>AI101+AH102</f>
        <v>57350</v>
      </c>
      <c r="AL102" s="113"/>
      <c r="AN102" s="133"/>
      <c r="AO102" s="112"/>
      <c r="AP102" s="133"/>
      <c r="AQ102" s="112"/>
      <c r="AR102" s="133"/>
    </row>
    <row r="103" spans="1:46" s="136" customFormat="1" x14ac:dyDescent="0.2">
      <c r="A103" s="147" t="s">
        <v>108</v>
      </c>
      <c r="B103" s="695">
        <f>ROUND(IF(B99-B102&gt;0,B99-B102,0),4)</f>
        <v>0</v>
      </c>
      <c r="C103" s="694">
        <f>ROUND(IF(C99-C102&gt;0,C99-C102,0),4)</f>
        <v>56100</v>
      </c>
      <c r="D103" s="694">
        <f t="shared" ref="D103:AH103" si="634">ROUND(IF(D99-D102&gt;0,D99-D102,0),4)</f>
        <v>92500</v>
      </c>
      <c r="E103" s="694">
        <f t="shared" si="634"/>
        <v>90650</v>
      </c>
      <c r="F103" s="694">
        <f t="shared" si="634"/>
        <v>88800</v>
      </c>
      <c r="G103" s="694">
        <f t="shared" si="634"/>
        <v>86950</v>
      </c>
      <c r="H103" s="694">
        <f t="shared" si="634"/>
        <v>85100</v>
      </c>
      <c r="I103" s="694">
        <f t="shared" si="634"/>
        <v>83250</v>
      </c>
      <c r="J103" s="694">
        <f t="shared" si="634"/>
        <v>81400</v>
      </c>
      <c r="K103" s="694">
        <f t="shared" si="634"/>
        <v>79550</v>
      </c>
      <c r="L103" s="694">
        <f t="shared" si="634"/>
        <v>77700</v>
      </c>
      <c r="M103" s="694">
        <f t="shared" si="634"/>
        <v>75850</v>
      </c>
      <c r="N103" s="694">
        <f t="shared" si="634"/>
        <v>74000</v>
      </c>
      <c r="O103" s="694">
        <f t="shared" si="634"/>
        <v>72150</v>
      </c>
      <c r="P103" s="694">
        <f t="shared" si="634"/>
        <v>70300</v>
      </c>
      <c r="Q103" s="694">
        <f t="shared" si="634"/>
        <v>68450</v>
      </c>
      <c r="R103" s="694">
        <f t="shared" si="634"/>
        <v>66600</v>
      </c>
      <c r="S103" s="694">
        <f t="shared" si="634"/>
        <v>64750</v>
      </c>
      <c r="T103" s="694">
        <f t="shared" si="634"/>
        <v>62900</v>
      </c>
      <c r="U103" s="694">
        <f t="shared" si="634"/>
        <v>61050</v>
      </c>
      <c r="V103" s="694">
        <f t="shared" si="634"/>
        <v>59200</v>
      </c>
      <c r="W103" s="694">
        <f t="shared" si="634"/>
        <v>57350</v>
      </c>
      <c r="X103" s="694">
        <f t="shared" si="634"/>
        <v>55500</v>
      </c>
      <c r="Y103" s="694">
        <f t="shared" si="634"/>
        <v>53650</v>
      </c>
      <c r="Z103" s="694">
        <f t="shared" si="634"/>
        <v>51800</v>
      </c>
      <c r="AA103" s="694">
        <f t="shared" si="634"/>
        <v>49950</v>
      </c>
      <c r="AB103" s="694">
        <f t="shared" si="634"/>
        <v>48100</v>
      </c>
      <c r="AC103" s="694">
        <f t="shared" si="634"/>
        <v>46250</v>
      </c>
      <c r="AD103" s="694">
        <f t="shared" si="634"/>
        <v>44400</v>
      </c>
      <c r="AE103" s="694">
        <f t="shared" si="634"/>
        <v>42550</v>
      </c>
      <c r="AF103" s="694">
        <f t="shared" si="634"/>
        <v>40700</v>
      </c>
      <c r="AG103" s="694">
        <f t="shared" si="634"/>
        <v>38850</v>
      </c>
      <c r="AH103" s="694">
        <f t="shared" si="634"/>
        <v>37000</v>
      </c>
      <c r="AI103" s="694">
        <f>ROUND(IF(AI99-AI102&gt;0,AI99-AI102,0),4)</f>
        <v>35150</v>
      </c>
      <c r="AL103" s="113"/>
      <c r="AN103" s="133"/>
      <c r="AO103" s="112"/>
      <c r="AP103" s="133"/>
      <c r="AQ103" s="112"/>
      <c r="AR103" s="133"/>
    </row>
    <row r="104" spans="1:46" s="136" customFormat="1" x14ac:dyDescent="0.2">
      <c r="A104" s="146" t="s">
        <v>9</v>
      </c>
      <c r="B104" s="698"/>
      <c r="C104" s="699"/>
      <c r="D104" s="699"/>
      <c r="E104" s="699"/>
      <c r="F104" s="699"/>
      <c r="G104" s="699"/>
      <c r="H104" s="699"/>
      <c r="I104" s="699"/>
      <c r="J104" s="699"/>
      <c r="K104" s="699"/>
      <c r="L104" s="699"/>
      <c r="M104" s="699"/>
      <c r="N104" s="699"/>
      <c r="O104" s="699"/>
      <c r="P104" s="699"/>
      <c r="Q104" s="699"/>
      <c r="R104" s="699"/>
      <c r="S104" s="699"/>
      <c r="T104" s="699"/>
      <c r="U104" s="699"/>
      <c r="V104" s="699"/>
      <c r="W104" s="699"/>
      <c r="X104" s="699"/>
      <c r="Y104" s="699"/>
      <c r="Z104" s="699"/>
      <c r="AA104" s="699"/>
      <c r="AB104" s="699"/>
      <c r="AC104" s="699"/>
      <c r="AD104" s="699"/>
      <c r="AE104" s="699"/>
      <c r="AF104" s="699"/>
      <c r="AG104" s="699"/>
      <c r="AH104" s="699"/>
      <c r="AI104" s="699"/>
      <c r="AL104" s="113"/>
      <c r="AN104" s="133"/>
      <c r="AO104" s="112"/>
      <c r="AP104" s="133"/>
      <c r="AQ104" s="112"/>
      <c r="AR104" s="133"/>
    </row>
    <row r="105" spans="1:46" s="136" customFormat="1" x14ac:dyDescent="0.2">
      <c r="A105" s="147" t="s">
        <v>104</v>
      </c>
      <c r="B105" s="695">
        <f>B145</f>
        <v>0</v>
      </c>
      <c r="C105" s="695">
        <f>C145+B105</f>
        <v>30600</v>
      </c>
      <c r="D105" s="695">
        <f t="shared" ref="D105:AI105" si="635">D145+C105</f>
        <v>30600</v>
      </c>
      <c r="E105" s="695">
        <f t="shared" si="635"/>
        <v>30600</v>
      </c>
      <c r="F105" s="695">
        <f t="shared" si="635"/>
        <v>30600</v>
      </c>
      <c r="G105" s="695">
        <f t="shared" si="635"/>
        <v>30600</v>
      </c>
      <c r="H105" s="695">
        <f t="shared" si="635"/>
        <v>30600</v>
      </c>
      <c r="I105" s="695">
        <f t="shared" si="635"/>
        <v>30600</v>
      </c>
      <c r="J105" s="695">
        <f t="shared" si="635"/>
        <v>30600</v>
      </c>
      <c r="K105" s="695">
        <f t="shared" si="635"/>
        <v>30600</v>
      </c>
      <c r="L105" s="695">
        <f t="shared" si="635"/>
        <v>30600</v>
      </c>
      <c r="M105" s="695">
        <f t="shared" si="635"/>
        <v>30600</v>
      </c>
      <c r="N105" s="695">
        <f t="shared" si="635"/>
        <v>30600</v>
      </c>
      <c r="O105" s="695">
        <f t="shared" si="635"/>
        <v>30600</v>
      </c>
      <c r="P105" s="695">
        <f t="shared" si="635"/>
        <v>30600</v>
      </c>
      <c r="Q105" s="695">
        <f t="shared" si="635"/>
        <v>30600</v>
      </c>
      <c r="R105" s="695">
        <f t="shared" si="635"/>
        <v>30600</v>
      </c>
      <c r="S105" s="695">
        <f t="shared" si="635"/>
        <v>30600</v>
      </c>
      <c r="T105" s="695">
        <f t="shared" si="635"/>
        <v>30600</v>
      </c>
      <c r="U105" s="695">
        <f t="shared" si="635"/>
        <v>30600</v>
      </c>
      <c r="V105" s="695">
        <f t="shared" si="635"/>
        <v>30600</v>
      </c>
      <c r="W105" s="695">
        <f t="shared" si="635"/>
        <v>30600</v>
      </c>
      <c r="X105" s="695">
        <f t="shared" si="635"/>
        <v>30600</v>
      </c>
      <c r="Y105" s="695">
        <f t="shared" si="635"/>
        <v>30600</v>
      </c>
      <c r="Z105" s="695">
        <f t="shared" si="635"/>
        <v>30600</v>
      </c>
      <c r="AA105" s="695">
        <f t="shared" si="635"/>
        <v>30600</v>
      </c>
      <c r="AB105" s="695">
        <f t="shared" si="635"/>
        <v>30600</v>
      </c>
      <c r="AC105" s="695">
        <f t="shared" si="635"/>
        <v>30600</v>
      </c>
      <c r="AD105" s="695">
        <f t="shared" si="635"/>
        <v>30600</v>
      </c>
      <c r="AE105" s="695">
        <f t="shared" si="635"/>
        <v>30600</v>
      </c>
      <c r="AF105" s="695">
        <f t="shared" si="635"/>
        <v>30600</v>
      </c>
      <c r="AG105" s="695">
        <f t="shared" si="635"/>
        <v>30600</v>
      </c>
      <c r="AH105" s="695">
        <f t="shared" si="635"/>
        <v>30600</v>
      </c>
      <c r="AI105" s="695">
        <f t="shared" si="635"/>
        <v>30600</v>
      </c>
      <c r="AL105" s="113"/>
      <c r="AN105" s="133"/>
      <c r="AO105" s="112"/>
      <c r="AP105" s="133"/>
      <c r="AQ105" s="112"/>
      <c r="AR105" s="133"/>
    </row>
    <row r="106" spans="1:46" s="136" customFormat="1" x14ac:dyDescent="0.2">
      <c r="A106" s="147" t="s">
        <v>105</v>
      </c>
      <c r="B106" s="35">
        <f>1/'Kopējie pieņēmumi'!$B$28</f>
        <v>0.1</v>
      </c>
      <c r="C106" s="14">
        <f>B106</f>
        <v>0.1</v>
      </c>
      <c r="D106" s="14">
        <f t="shared" ref="D106:AH106" si="636">C106</f>
        <v>0.1</v>
      </c>
      <c r="E106" s="14">
        <f t="shared" si="636"/>
        <v>0.1</v>
      </c>
      <c r="F106" s="14">
        <f t="shared" si="636"/>
        <v>0.1</v>
      </c>
      <c r="G106" s="14">
        <f t="shared" si="636"/>
        <v>0.1</v>
      </c>
      <c r="H106" s="14">
        <f t="shared" si="636"/>
        <v>0.1</v>
      </c>
      <c r="I106" s="14">
        <f t="shared" si="636"/>
        <v>0.1</v>
      </c>
      <c r="J106" s="14">
        <f t="shared" si="636"/>
        <v>0.1</v>
      </c>
      <c r="K106" s="14">
        <f t="shared" si="636"/>
        <v>0.1</v>
      </c>
      <c r="L106" s="14">
        <f t="shared" si="636"/>
        <v>0.1</v>
      </c>
      <c r="M106" s="14">
        <f t="shared" si="636"/>
        <v>0.1</v>
      </c>
      <c r="N106" s="14">
        <f t="shared" si="636"/>
        <v>0.1</v>
      </c>
      <c r="O106" s="14">
        <f t="shared" si="636"/>
        <v>0.1</v>
      </c>
      <c r="P106" s="14">
        <f t="shared" si="636"/>
        <v>0.1</v>
      </c>
      <c r="Q106" s="14">
        <f t="shared" si="636"/>
        <v>0.1</v>
      </c>
      <c r="R106" s="14">
        <f t="shared" si="636"/>
        <v>0.1</v>
      </c>
      <c r="S106" s="14">
        <f t="shared" si="636"/>
        <v>0.1</v>
      </c>
      <c r="T106" s="14">
        <f t="shared" si="636"/>
        <v>0.1</v>
      </c>
      <c r="U106" s="14">
        <f t="shared" si="636"/>
        <v>0.1</v>
      </c>
      <c r="V106" s="14">
        <f t="shared" si="636"/>
        <v>0.1</v>
      </c>
      <c r="W106" s="14">
        <f t="shared" si="636"/>
        <v>0.1</v>
      </c>
      <c r="X106" s="14">
        <f t="shared" si="636"/>
        <v>0.1</v>
      </c>
      <c r="Y106" s="14">
        <f t="shared" si="636"/>
        <v>0.1</v>
      </c>
      <c r="Z106" s="14">
        <f t="shared" si="636"/>
        <v>0.1</v>
      </c>
      <c r="AA106" s="14">
        <f t="shared" si="636"/>
        <v>0.1</v>
      </c>
      <c r="AB106" s="14">
        <f t="shared" si="636"/>
        <v>0.1</v>
      </c>
      <c r="AC106" s="14">
        <f t="shared" si="636"/>
        <v>0.1</v>
      </c>
      <c r="AD106" s="14">
        <f t="shared" si="636"/>
        <v>0.1</v>
      </c>
      <c r="AE106" s="14">
        <f t="shared" si="636"/>
        <v>0.1</v>
      </c>
      <c r="AF106" s="14">
        <f t="shared" si="636"/>
        <v>0.1</v>
      </c>
      <c r="AG106" s="14">
        <f t="shared" si="636"/>
        <v>0.1</v>
      </c>
      <c r="AH106" s="14">
        <f t="shared" si="636"/>
        <v>0.1</v>
      </c>
      <c r="AI106" s="14">
        <f>AH106</f>
        <v>0.1</v>
      </c>
      <c r="AL106" s="113"/>
      <c r="AN106" s="133"/>
      <c r="AO106" s="112"/>
      <c r="AP106" s="133"/>
      <c r="AQ106" s="112"/>
      <c r="AR106" s="133"/>
    </row>
    <row r="107" spans="1:46" s="136" customFormat="1" x14ac:dyDescent="0.2">
      <c r="A107" s="147" t="s">
        <v>106</v>
      </c>
      <c r="B107" s="697">
        <v>0</v>
      </c>
      <c r="C107" s="694">
        <f t="shared" ref="C107:AG107" si="637">IF(B109&gt;0,IF(C105-B105&gt;0,0,C106*C105),0)</f>
        <v>0</v>
      </c>
      <c r="D107" s="694">
        <f t="shared" si="637"/>
        <v>3060</v>
      </c>
      <c r="E107" s="694">
        <f t="shared" si="637"/>
        <v>3060</v>
      </c>
      <c r="F107" s="694">
        <f t="shared" si="637"/>
        <v>3060</v>
      </c>
      <c r="G107" s="694">
        <f t="shared" si="637"/>
        <v>3060</v>
      </c>
      <c r="H107" s="694">
        <f t="shared" si="637"/>
        <v>3060</v>
      </c>
      <c r="I107" s="694">
        <f t="shared" si="637"/>
        <v>3060</v>
      </c>
      <c r="J107" s="694">
        <f t="shared" si="637"/>
        <v>3060</v>
      </c>
      <c r="K107" s="694">
        <f t="shared" si="637"/>
        <v>3060</v>
      </c>
      <c r="L107" s="694">
        <f t="shared" si="637"/>
        <v>3060</v>
      </c>
      <c r="M107" s="694">
        <f t="shared" si="637"/>
        <v>3060</v>
      </c>
      <c r="N107" s="694">
        <f t="shared" si="637"/>
        <v>0</v>
      </c>
      <c r="O107" s="694">
        <f t="shared" si="637"/>
        <v>0</v>
      </c>
      <c r="P107" s="694">
        <f t="shared" si="637"/>
        <v>0</v>
      </c>
      <c r="Q107" s="694">
        <f t="shared" si="637"/>
        <v>0</v>
      </c>
      <c r="R107" s="694">
        <f t="shared" si="637"/>
        <v>0</v>
      </c>
      <c r="S107" s="694">
        <f t="shared" si="637"/>
        <v>0</v>
      </c>
      <c r="T107" s="694">
        <f t="shared" si="637"/>
        <v>0</v>
      </c>
      <c r="U107" s="694">
        <f t="shared" si="637"/>
        <v>0</v>
      </c>
      <c r="V107" s="694">
        <f t="shared" si="637"/>
        <v>0</v>
      </c>
      <c r="W107" s="694">
        <f t="shared" si="637"/>
        <v>0</v>
      </c>
      <c r="X107" s="694">
        <f t="shared" si="637"/>
        <v>0</v>
      </c>
      <c r="Y107" s="694">
        <f t="shared" si="637"/>
        <v>0</v>
      </c>
      <c r="Z107" s="694">
        <f t="shared" si="637"/>
        <v>0</v>
      </c>
      <c r="AA107" s="694">
        <f t="shared" si="637"/>
        <v>0</v>
      </c>
      <c r="AB107" s="694">
        <f t="shared" si="637"/>
        <v>0</v>
      </c>
      <c r="AC107" s="694">
        <f t="shared" si="637"/>
        <v>0</v>
      </c>
      <c r="AD107" s="694">
        <f t="shared" si="637"/>
        <v>0</v>
      </c>
      <c r="AE107" s="694">
        <f t="shared" si="637"/>
        <v>0</v>
      </c>
      <c r="AF107" s="694">
        <f t="shared" si="637"/>
        <v>0</v>
      </c>
      <c r="AG107" s="694">
        <f t="shared" si="637"/>
        <v>0</v>
      </c>
      <c r="AH107" s="694">
        <f>IF(AG109&gt;0,IF(AH105-AG105&gt;0,0,AH106*AH105),0)</f>
        <v>0</v>
      </c>
      <c r="AI107" s="694">
        <f>IF(AH109&gt;0,IF(AI105-AH105&gt;0,0,AI106*AI105),0)</f>
        <v>0</v>
      </c>
      <c r="AL107" s="113"/>
      <c r="AN107" s="133"/>
      <c r="AO107" s="112"/>
      <c r="AP107" s="133"/>
      <c r="AQ107" s="112"/>
      <c r="AR107" s="133"/>
    </row>
    <row r="108" spans="1:46" s="136" customFormat="1" x14ac:dyDescent="0.2">
      <c r="A108" s="147" t="s">
        <v>107</v>
      </c>
      <c r="B108" s="695">
        <f>B107</f>
        <v>0</v>
      </c>
      <c r="C108" s="694">
        <f t="shared" ref="C108:AG108" si="638">C107+B108</f>
        <v>0</v>
      </c>
      <c r="D108" s="694">
        <f t="shared" si="638"/>
        <v>3060</v>
      </c>
      <c r="E108" s="694">
        <f t="shared" si="638"/>
        <v>6120</v>
      </c>
      <c r="F108" s="694">
        <f t="shared" si="638"/>
        <v>9180</v>
      </c>
      <c r="G108" s="694">
        <f t="shared" si="638"/>
        <v>12240</v>
      </c>
      <c r="H108" s="694">
        <f t="shared" si="638"/>
        <v>15300</v>
      </c>
      <c r="I108" s="694">
        <f t="shared" si="638"/>
        <v>18360</v>
      </c>
      <c r="J108" s="694">
        <f t="shared" si="638"/>
        <v>21420</v>
      </c>
      <c r="K108" s="694">
        <f t="shared" si="638"/>
        <v>24480</v>
      </c>
      <c r="L108" s="694">
        <f t="shared" si="638"/>
        <v>27540</v>
      </c>
      <c r="M108" s="694">
        <f t="shared" si="638"/>
        <v>30600</v>
      </c>
      <c r="N108" s="694">
        <f t="shared" si="638"/>
        <v>30600</v>
      </c>
      <c r="O108" s="694">
        <f t="shared" si="638"/>
        <v>30600</v>
      </c>
      <c r="P108" s="694">
        <f t="shared" si="638"/>
        <v>30600</v>
      </c>
      <c r="Q108" s="694">
        <f t="shared" si="638"/>
        <v>30600</v>
      </c>
      <c r="R108" s="694">
        <f t="shared" si="638"/>
        <v>30600</v>
      </c>
      <c r="S108" s="694">
        <f t="shared" si="638"/>
        <v>30600</v>
      </c>
      <c r="T108" s="694">
        <f t="shared" si="638"/>
        <v>30600</v>
      </c>
      <c r="U108" s="694">
        <f t="shared" si="638"/>
        <v>30600</v>
      </c>
      <c r="V108" s="694">
        <f t="shared" si="638"/>
        <v>30600</v>
      </c>
      <c r="W108" s="694">
        <f t="shared" si="638"/>
        <v>30600</v>
      </c>
      <c r="X108" s="694">
        <f t="shared" si="638"/>
        <v>30600</v>
      </c>
      <c r="Y108" s="694">
        <f t="shared" si="638"/>
        <v>30600</v>
      </c>
      <c r="Z108" s="694">
        <f t="shared" si="638"/>
        <v>30600</v>
      </c>
      <c r="AA108" s="694">
        <f t="shared" si="638"/>
        <v>30600</v>
      </c>
      <c r="AB108" s="694">
        <f t="shared" si="638"/>
        <v>30600</v>
      </c>
      <c r="AC108" s="694">
        <f t="shared" si="638"/>
        <v>30600</v>
      </c>
      <c r="AD108" s="694">
        <f t="shared" si="638"/>
        <v>30600</v>
      </c>
      <c r="AE108" s="694">
        <f t="shared" si="638"/>
        <v>30600</v>
      </c>
      <c r="AF108" s="694">
        <f t="shared" si="638"/>
        <v>30600</v>
      </c>
      <c r="AG108" s="694">
        <f t="shared" si="638"/>
        <v>30600</v>
      </c>
      <c r="AH108" s="694">
        <f>AH107+AG108</f>
        <v>30600</v>
      </c>
      <c r="AI108" s="694">
        <f>AI107+AH108</f>
        <v>30600</v>
      </c>
      <c r="AL108" s="113"/>
      <c r="AN108" s="133"/>
      <c r="AO108" s="112"/>
      <c r="AP108" s="133"/>
      <c r="AQ108" s="112"/>
      <c r="AR108" s="133"/>
    </row>
    <row r="109" spans="1:46" s="136" customFormat="1" x14ac:dyDescent="0.2">
      <c r="A109" s="147" t="s">
        <v>108</v>
      </c>
      <c r="B109" s="695">
        <f>ROUND(IF(B105-B108&gt;0,B105-B108,0),0)</f>
        <v>0</v>
      </c>
      <c r="C109" s="694">
        <f>ROUND(IF(C105-C108&gt;0,C105-C108,0),4)</f>
        <v>30600</v>
      </c>
      <c r="D109" s="694">
        <f t="shared" ref="D109:AH109" si="639">ROUND(IF(D105-D108&gt;0,D105-D108,0),4)</f>
        <v>27540</v>
      </c>
      <c r="E109" s="694">
        <f t="shared" si="639"/>
        <v>24480</v>
      </c>
      <c r="F109" s="694">
        <f t="shared" si="639"/>
        <v>21420</v>
      </c>
      <c r="G109" s="694">
        <f t="shared" si="639"/>
        <v>18360</v>
      </c>
      <c r="H109" s="694">
        <f t="shared" si="639"/>
        <v>15300</v>
      </c>
      <c r="I109" s="694">
        <f t="shared" si="639"/>
        <v>12240</v>
      </c>
      <c r="J109" s="694">
        <f t="shared" si="639"/>
        <v>9180</v>
      </c>
      <c r="K109" s="694">
        <f t="shared" si="639"/>
        <v>6120</v>
      </c>
      <c r="L109" s="694">
        <f t="shared" si="639"/>
        <v>3060</v>
      </c>
      <c r="M109" s="694">
        <f t="shared" si="639"/>
        <v>0</v>
      </c>
      <c r="N109" s="694">
        <f t="shared" si="639"/>
        <v>0</v>
      </c>
      <c r="O109" s="694">
        <f t="shared" si="639"/>
        <v>0</v>
      </c>
      <c r="P109" s="694">
        <f t="shared" si="639"/>
        <v>0</v>
      </c>
      <c r="Q109" s="694">
        <f t="shared" si="639"/>
        <v>0</v>
      </c>
      <c r="R109" s="694">
        <f t="shared" si="639"/>
        <v>0</v>
      </c>
      <c r="S109" s="694">
        <f t="shared" si="639"/>
        <v>0</v>
      </c>
      <c r="T109" s="694">
        <f t="shared" si="639"/>
        <v>0</v>
      </c>
      <c r="U109" s="694">
        <f t="shared" si="639"/>
        <v>0</v>
      </c>
      <c r="V109" s="694">
        <f t="shared" si="639"/>
        <v>0</v>
      </c>
      <c r="W109" s="694">
        <f t="shared" si="639"/>
        <v>0</v>
      </c>
      <c r="X109" s="694">
        <f t="shared" si="639"/>
        <v>0</v>
      </c>
      <c r="Y109" s="694">
        <f t="shared" si="639"/>
        <v>0</v>
      </c>
      <c r="Z109" s="694">
        <f t="shared" si="639"/>
        <v>0</v>
      </c>
      <c r="AA109" s="694">
        <f t="shared" si="639"/>
        <v>0</v>
      </c>
      <c r="AB109" s="694">
        <f t="shared" si="639"/>
        <v>0</v>
      </c>
      <c r="AC109" s="694">
        <f t="shared" si="639"/>
        <v>0</v>
      </c>
      <c r="AD109" s="694">
        <f t="shared" si="639"/>
        <v>0</v>
      </c>
      <c r="AE109" s="694">
        <f t="shared" si="639"/>
        <v>0</v>
      </c>
      <c r="AF109" s="694">
        <f t="shared" si="639"/>
        <v>0</v>
      </c>
      <c r="AG109" s="694">
        <f t="shared" si="639"/>
        <v>0</v>
      </c>
      <c r="AH109" s="694">
        <f t="shared" si="639"/>
        <v>0</v>
      </c>
      <c r="AI109" s="694">
        <f>ROUND(IF(AI105-AI108&gt;0,AI105-AI108,0),4)</f>
        <v>0</v>
      </c>
      <c r="AL109" s="113"/>
      <c r="AN109" s="133"/>
      <c r="AO109" s="112"/>
      <c r="AP109" s="133"/>
      <c r="AQ109" s="112"/>
      <c r="AR109" s="133"/>
    </row>
    <row r="110" spans="1:46" s="136" customFormat="1" x14ac:dyDescent="0.2">
      <c r="A110" s="146" t="s">
        <v>10</v>
      </c>
      <c r="B110" s="698"/>
      <c r="C110" s="699"/>
      <c r="D110" s="699"/>
      <c r="E110" s="699"/>
      <c r="F110" s="699"/>
      <c r="G110" s="699"/>
      <c r="H110" s="699"/>
      <c r="I110" s="699"/>
      <c r="J110" s="699"/>
      <c r="K110" s="699"/>
      <c r="L110" s="699"/>
      <c r="M110" s="699"/>
      <c r="N110" s="699"/>
      <c r="O110" s="699"/>
      <c r="P110" s="699"/>
      <c r="Q110" s="699"/>
      <c r="R110" s="699"/>
      <c r="S110" s="699"/>
      <c r="T110" s="699"/>
      <c r="U110" s="699"/>
      <c r="V110" s="699"/>
      <c r="W110" s="699"/>
      <c r="X110" s="699"/>
      <c r="Y110" s="699"/>
      <c r="Z110" s="699"/>
      <c r="AA110" s="699"/>
      <c r="AB110" s="699"/>
      <c r="AC110" s="699"/>
      <c r="AD110" s="699"/>
      <c r="AE110" s="699"/>
      <c r="AF110" s="699"/>
      <c r="AG110" s="699"/>
      <c r="AH110" s="699"/>
      <c r="AI110" s="699"/>
      <c r="AL110" s="113"/>
      <c r="AN110" s="133"/>
      <c r="AO110" s="112"/>
      <c r="AP110" s="133"/>
      <c r="AQ110" s="112"/>
      <c r="AR110" s="133"/>
    </row>
    <row r="111" spans="1:46" s="136" customFormat="1" x14ac:dyDescent="0.2">
      <c r="A111" s="147" t="s">
        <v>104</v>
      </c>
      <c r="B111" s="695">
        <f>B146</f>
        <v>0</v>
      </c>
      <c r="C111" s="695">
        <f>C146+B111</f>
        <v>68085</v>
      </c>
      <c r="D111" s="695">
        <f t="shared" ref="D111:AI111" si="640">D146+C111</f>
        <v>68085</v>
      </c>
      <c r="E111" s="695">
        <f t="shared" si="640"/>
        <v>68085</v>
      </c>
      <c r="F111" s="695">
        <f t="shared" si="640"/>
        <v>68085</v>
      </c>
      <c r="G111" s="695">
        <f t="shared" si="640"/>
        <v>68085</v>
      </c>
      <c r="H111" s="695">
        <f t="shared" si="640"/>
        <v>68085</v>
      </c>
      <c r="I111" s="695">
        <f t="shared" si="640"/>
        <v>68085</v>
      </c>
      <c r="J111" s="695">
        <f t="shared" si="640"/>
        <v>68085</v>
      </c>
      <c r="K111" s="695">
        <f t="shared" si="640"/>
        <v>68085</v>
      </c>
      <c r="L111" s="695">
        <f t="shared" si="640"/>
        <v>68085</v>
      </c>
      <c r="M111" s="695">
        <f t="shared" si="640"/>
        <v>68085</v>
      </c>
      <c r="N111" s="695">
        <f t="shared" si="640"/>
        <v>68085</v>
      </c>
      <c r="O111" s="695">
        <f t="shared" si="640"/>
        <v>68085</v>
      </c>
      <c r="P111" s="695">
        <f t="shared" si="640"/>
        <v>68085</v>
      </c>
      <c r="Q111" s="695">
        <f t="shared" si="640"/>
        <v>68085</v>
      </c>
      <c r="R111" s="695">
        <f t="shared" si="640"/>
        <v>68085</v>
      </c>
      <c r="S111" s="695">
        <f t="shared" si="640"/>
        <v>68085</v>
      </c>
      <c r="T111" s="695">
        <f t="shared" si="640"/>
        <v>68085</v>
      </c>
      <c r="U111" s="695">
        <f t="shared" si="640"/>
        <v>68085</v>
      </c>
      <c r="V111" s="695">
        <f t="shared" si="640"/>
        <v>68085</v>
      </c>
      <c r="W111" s="695">
        <f t="shared" si="640"/>
        <v>68085</v>
      </c>
      <c r="X111" s="695">
        <f t="shared" si="640"/>
        <v>68085</v>
      </c>
      <c r="Y111" s="695">
        <f t="shared" si="640"/>
        <v>68085</v>
      </c>
      <c r="Z111" s="695">
        <f t="shared" si="640"/>
        <v>68085</v>
      </c>
      <c r="AA111" s="695">
        <f t="shared" si="640"/>
        <v>68085</v>
      </c>
      <c r="AB111" s="695">
        <f t="shared" si="640"/>
        <v>68085</v>
      </c>
      <c r="AC111" s="695">
        <f t="shared" si="640"/>
        <v>68085</v>
      </c>
      <c r="AD111" s="695">
        <f t="shared" si="640"/>
        <v>68085</v>
      </c>
      <c r="AE111" s="695">
        <f t="shared" si="640"/>
        <v>68085</v>
      </c>
      <c r="AF111" s="695">
        <f t="shared" si="640"/>
        <v>68085</v>
      </c>
      <c r="AG111" s="695">
        <f t="shared" si="640"/>
        <v>68085</v>
      </c>
      <c r="AH111" s="695">
        <f t="shared" si="640"/>
        <v>68085</v>
      </c>
      <c r="AI111" s="695">
        <f t="shared" si="640"/>
        <v>68085</v>
      </c>
      <c r="AL111" s="113"/>
      <c r="AN111" s="133"/>
      <c r="AO111" s="112"/>
      <c r="AP111" s="133"/>
      <c r="AQ111" s="112"/>
      <c r="AR111" s="133"/>
    </row>
    <row r="112" spans="1:46" s="136" customFormat="1" x14ac:dyDescent="0.2">
      <c r="A112" s="147" t="s">
        <v>105</v>
      </c>
      <c r="B112" s="35">
        <f>1/'Kopējie pieņēmumi'!$B$29</f>
        <v>0.1</v>
      </c>
      <c r="C112" s="14">
        <f>B112</f>
        <v>0.1</v>
      </c>
      <c r="D112" s="14">
        <f t="shared" ref="D112:AH112" si="641">C112</f>
        <v>0.1</v>
      </c>
      <c r="E112" s="14">
        <f t="shared" si="641"/>
        <v>0.1</v>
      </c>
      <c r="F112" s="14">
        <f t="shared" si="641"/>
        <v>0.1</v>
      </c>
      <c r="G112" s="14">
        <f t="shared" si="641"/>
        <v>0.1</v>
      </c>
      <c r="H112" s="14">
        <f t="shared" si="641"/>
        <v>0.1</v>
      </c>
      <c r="I112" s="14">
        <f t="shared" si="641"/>
        <v>0.1</v>
      </c>
      <c r="J112" s="14">
        <f t="shared" si="641"/>
        <v>0.1</v>
      </c>
      <c r="K112" s="14">
        <f t="shared" si="641"/>
        <v>0.1</v>
      </c>
      <c r="L112" s="14">
        <f t="shared" si="641"/>
        <v>0.1</v>
      </c>
      <c r="M112" s="14">
        <f t="shared" si="641"/>
        <v>0.1</v>
      </c>
      <c r="N112" s="14">
        <f t="shared" si="641"/>
        <v>0.1</v>
      </c>
      <c r="O112" s="14">
        <f t="shared" si="641"/>
        <v>0.1</v>
      </c>
      <c r="P112" s="14">
        <f t="shared" si="641"/>
        <v>0.1</v>
      </c>
      <c r="Q112" s="14">
        <f t="shared" si="641"/>
        <v>0.1</v>
      </c>
      <c r="R112" s="14">
        <f t="shared" si="641"/>
        <v>0.1</v>
      </c>
      <c r="S112" s="14">
        <f t="shared" si="641"/>
        <v>0.1</v>
      </c>
      <c r="T112" s="14">
        <f t="shared" si="641"/>
        <v>0.1</v>
      </c>
      <c r="U112" s="14">
        <f t="shared" si="641"/>
        <v>0.1</v>
      </c>
      <c r="V112" s="14">
        <f t="shared" si="641"/>
        <v>0.1</v>
      </c>
      <c r="W112" s="14">
        <f t="shared" si="641"/>
        <v>0.1</v>
      </c>
      <c r="X112" s="14">
        <f t="shared" si="641"/>
        <v>0.1</v>
      </c>
      <c r="Y112" s="14">
        <f t="shared" si="641"/>
        <v>0.1</v>
      </c>
      <c r="Z112" s="14">
        <f t="shared" si="641"/>
        <v>0.1</v>
      </c>
      <c r="AA112" s="14">
        <f t="shared" si="641"/>
        <v>0.1</v>
      </c>
      <c r="AB112" s="14">
        <f t="shared" si="641"/>
        <v>0.1</v>
      </c>
      <c r="AC112" s="14">
        <f t="shared" si="641"/>
        <v>0.1</v>
      </c>
      <c r="AD112" s="14">
        <f t="shared" si="641"/>
        <v>0.1</v>
      </c>
      <c r="AE112" s="14">
        <f t="shared" si="641"/>
        <v>0.1</v>
      </c>
      <c r="AF112" s="14">
        <f t="shared" si="641"/>
        <v>0.1</v>
      </c>
      <c r="AG112" s="14">
        <f t="shared" si="641"/>
        <v>0.1</v>
      </c>
      <c r="AH112" s="14">
        <f t="shared" si="641"/>
        <v>0.1</v>
      </c>
      <c r="AI112" s="14">
        <f>AH112</f>
        <v>0.1</v>
      </c>
      <c r="AL112" s="113"/>
      <c r="AN112" s="133"/>
      <c r="AO112" s="112"/>
      <c r="AP112" s="133"/>
      <c r="AQ112" s="112"/>
      <c r="AR112" s="133"/>
    </row>
    <row r="113" spans="1:44" s="136" customFormat="1" x14ac:dyDescent="0.2">
      <c r="A113" s="147" t="s">
        <v>106</v>
      </c>
      <c r="B113" s="697">
        <v>0</v>
      </c>
      <c r="C113" s="694">
        <f t="shared" ref="C113:AG113" si="642">IF(B115&gt;0,IF(C111-B111&gt;0,0,C112*C111),0)</f>
        <v>0</v>
      </c>
      <c r="D113" s="694">
        <f t="shared" si="642"/>
        <v>6808.5</v>
      </c>
      <c r="E113" s="694">
        <f t="shared" si="642"/>
        <v>6808.5</v>
      </c>
      <c r="F113" s="694">
        <f t="shared" si="642"/>
        <v>6808.5</v>
      </c>
      <c r="G113" s="694">
        <f t="shared" si="642"/>
        <v>6808.5</v>
      </c>
      <c r="H113" s="694">
        <f t="shared" si="642"/>
        <v>6808.5</v>
      </c>
      <c r="I113" s="694">
        <f t="shared" si="642"/>
        <v>6808.5</v>
      </c>
      <c r="J113" s="694">
        <f t="shared" si="642"/>
        <v>6808.5</v>
      </c>
      <c r="K113" s="694">
        <f t="shared" si="642"/>
        <v>6808.5</v>
      </c>
      <c r="L113" s="694">
        <f t="shared" si="642"/>
        <v>6808.5</v>
      </c>
      <c r="M113" s="694">
        <f t="shared" si="642"/>
        <v>6808.5</v>
      </c>
      <c r="N113" s="694">
        <f t="shared" si="642"/>
        <v>0</v>
      </c>
      <c r="O113" s="694">
        <f t="shared" si="642"/>
        <v>0</v>
      </c>
      <c r="P113" s="694">
        <f t="shared" si="642"/>
        <v>0</v>
      </c>
      <c r="Q113" s="694">
        <f t="shared" si="642"/>
        <v>0</v>
      </c>
      <c r="R113" s="694">
        <f t="shared" si="642"/>
        <v>0</v>
      </c>
      <c r="S113" s="694">
        <f t="shared" si="642"/>
        <v>0</v>
      </c>
      <c r="T113" s="694">
        <f t="shared" si="642"/>
        <v>0</v>
      </c>
      <c r="U113" s="694">
        <f t="shared" si="642"/>
        <v>0</v>
      </c>
      <c r="V113" s="694">
        <f t="shared" si="642"/>
        <v>0</v>
      </c>
      <c r="W113" s="694">
        <f t="shared" si="642"/>
        <v>0</v>
      </c>
      <c r="X113" s="694">
        <f t="shared" si="642"/>
        <v>0</v>
      </c>
      <c r="Y113" s="694">
        <f t="shared" si="642"/>
        <v>0</v>
      </c>
      <c r="Z113" s="694">
        <f t="shared" si="642"/>
        <v>0</v>
      </c>
      <c r="AA113" s="694">
        <f t="shared" si="642"/>
        <v>0</v>
      </c>
      <c r="AB113" s="694">
        <f t="shared" si="642"/>
        <v>0</v>
      </c>
      <c r="AC113" s="694">
        <f t="shared" si="642"/>
        <v>0</v>
      </c>
      <c r="AD113" s="694">
        <f t="shared" si="642"/>
        <v>0</v>
      </c>
      <c r="AE113" s="694">
        <f t="shared" si="642"/>
        <v>0</v>
      </c>
      <c r="AF113" s="694">
        <f t="shared" si="642"/>
        <v>0</v>
      </c>
      <c r="AG113" s="694">
        <f t="shared" si="642"/>
        <v>0</v>
      </c>
      <c r="AH113" s="694">
        <f>IF(AG115&gt;0,IF(AH111-AG111&gt;0,0,AH112*AH111),0)</f>
        <v>0</v>
      </c>
      <c r="AI113" s="694">
        <f>IF(AH115&gt;0,IF(AI111-AH111&gt;0,0,AI112*AI111),0)</f>
        <v>0</v>
      </c>
      <c r="AL113" s="113"/>
      <c r="AN113" s="133"/>
      <c r="AO113" s="112"/>
      <c r="AP113" s="133"/>
      <c r="AQ113" s="112"/>
      <c r="AR113" s="133"/>
    </row>
    <row r="114" spans="1:44" s="136" customFormat="1" x14ac:dyDescent="0.2">
      <c r="A114" s="147" t="s">
        <v>107</v>
      </c>
      <c r="B114" s="695">
        <f>B113</f>
        <v>0</v>
      </c>
      <c r="C114" s="694">
        <f t="shared" ref="C114:AG114" si="643">C113+B114</f>
        <v>0</v>
      </c>
      <c r="D114" s="694">
        <f t="shared" si="643"/>
        <v>6808.5</v>
      </c>
      <c r="E114" s="694">
        <f t="shared" si="643"/>
        <v>13617</v>
      </c>
      <c r="F114" s="694">
        <f t="shared" si="643"/>
        <v>20425.5</v>
      </c>
      <c r="G114" s="694">
        <f t="shared" si="643"/>
        <v>27234</v>
      </c>
      <c r="H114" s="694">
        <f t="shared" si="643"/>
        <v>34042.5</v>
      </c>
      <c r="I114" s="694">
        <f t="shared" si="643"/>
        <v>40851</v>
      </c>
      <c r="J114" s="694">
        <f t="shared" si="643"/>
        <v>47659.5</v>
      </c>
      <c r="K114" s="694">
        <f t="shared" si="643"/>
        <v>54468</v>
      </c>
      <c r="L114" s="694">
        <f t="shared" si="643"/>
        <v>61276.5</v>
      </c>
      <c r="M114" s="694">
        <f t="shared" si="643"/>
        <v>68085</v>
      </c>
      <c r="N114" s="694">
        <f t="shared" si="643"/>
        <v>68085</v>
      </c>
      <c r="O114" s="694">
        <f t="shared" si="643"/>
        <v>68085</v>
      </c>
      <c r="P114" s="694">
        <f t="shared" si="643"/>
        <v>68085</v>
      </c>
      <c r="Q114" s="694">
        <f t="shared" si="643"/>
        <v>68085</v>
      </c>
      <c r="R114" s="694">
        <f t="shared" si="643"/>
        <v>68085</v>
      </c>
      <c r="S114" s="694">
        <f t="shared" si="643"/>
        <v>68085</v>
      </c>
      <c r="T114" s="694">
        <f t="shared" si="643"/>
        <v>68085</v>
      </c>
      <c r="U114" s="694">
        <f t="shared" si="643"/>
        <v>68085</v>
      </c>
      <c r="V114" s="694">
        <f t="shared" si="643"/>
        <v>68085</v>
      </c>
      <c r="W114" s="694">
        <f t="shared" si="643"/>
        <v>68085</v>
      </c>
      <c r="X114" s="694">
        <f t="shared" si="643"/>
        <v>68085</v>
      </c>
      <c r="Y114" s="694">
        <f t="shared" si="643"/>
        <v>68085</v>
      </c>
      <c r="Z114" s="694">
        <f t="shared" si="643"/>
        <v>68085</v>
      </c>
      <c r="AA114" s="694">
        <f t="shared" si="643"/>
        <v>68085</v>
      </c>
      <c r="AB114" s="694">
        <f t="shared" si="643"/>
        <v>68085</v>
      </c>
      <c r="AC114" s="694">
        <f t="shared" si="643"/>
        <v>68085</v>
      </c>
      <c r="AD114" s="694">
        <f t="shared" si="643"/>
        <v>68085</v>
      </c>
      <c r="AE114" s="694">
        <f t="shared" si="643"/>
        <v>68085</v>
      </c>
      <c r="AF114" s="694">
        <f t="shared" si="643"/>
        <v>68085</v>
      </c>
      <c r="AG114" s="694">
        <f t="shared" si="643"/>
        <v>68085</v>
      </c>
      <c r="AH114" s="694">
        <f>AH113+AG114</f>
        <v>68085</v>
      </c>
      <c r="AI114" s="694">
        <f>AI113+AH114</f>
        <v>68085</v>
      </c>
      <c r="AL114" s="113"/>
      <c r="AN114" s="133"/>
      <c r="AO114" s="112"/>
      <c r="AP114" s="133"/>
      <c r="AQ114" s="112"/>
      <c r="AR114" s="133"/>
    </row>
    <row r="115" spans="1:44" s="136" customFormat="1" x14ac:dyDescent="0.2">
      <c r="A115" s="147" t="s">
        <v>108</v>
      </c>
      <c r="B115" s="695">
        <f>ROUND(IF(B111-B114&gt;0,B111-B114,0),0)</f>
        <v>0</v>
      </c>
      <c r="C115" s="694">
        <f>ROUND(IF(C111-C114&gt;0,C111-C114,0),4)</f>
        <v>68085</v>
      </c>
      <c r="D115" s="694">
        <f t="shared" ref="D115:AH115" si="644">ROUND(IF(D111-D114&gt;0,D111-D114,0),4)</f>
        <v>61276.5</v>
      </c>
      <c r="E115" s="694">
        <f t="shared" si="644"/>
        <v>54468</v>
      </c>
      <c r="F115" s="694">
        <f t="shared" si="644"/>
        <v>47659.5</v>
      </c>
      <c r="G115" s="694">
        <f t="shared" si="644"/>
        <v>40851</v>
      </c>
      <c r="H115" s="694">
        <f t="shared" si="644"/>
        <v>34042.5</v>
      </c>
      <c r="I115" s="694">
        <f t="shared" si="644"/>
        <v>27234</v>
      </c>
      <c r="J115" s="694">
        <f t="shared" si="644"/>
        <v>20425.5</v>
      </c>
      <c r="K115" s="694">
        <f t="shared" si="644"/>
        <v>13617</v>
      </c>
      <c r="L115" s="694">
        <f t="shared" si="644"/>
        <v>6808.5</v>
      </c>
      <c r="M115" s="694">
        <f t="shared" si="644"/>
        <v>0</v>
      </c>
      <c r="N115" s="694">
        <f t="shared" si="644"/>
        <v>0</v>
      </c>
      <c r="O115" s="694">
        <f t="shared" si="644"/>
        <v>0</v>
      </c>
      <c r="P115" s="694">
        <f t="shared" si="644"/>
        <v>0</v>
      </c>
      <c r="Q115" s="694">
        <f t="shared" si="644"/>
        <v>0</v>
      </c>
      <c r="R115" s="694">
        <f t="shared" si="644"/>
        <v>0</v>
      </c>
      <c r="S115" s="694">
        <f t="shared" si="644"/>
        <v>0</v>
      </c>
      <c r="T115" s="694">
        <f t="shared" si="644"/>
        <v>0</v>
      </c>
      <c r="U115" s="694">
        <f t="shared" si="644"/>
        <v>0</v>
      </c>
      <c r="V115" s="694">
        <f t="shared" si="644"/>
        <v>0</v>
      </c>
      <c r="W115" s="694">
        <f t="shared" si="644"/>
        <v>0</v>
      </c>
      <c r="X115" s="694">
        <f t="shared" si="644"/>
        <v>0</v>
      </c>
      <c r="Y115" s="694">
        <f t="shared" si="644"/>
        <v>0</v>
      </c>
      <c r="Z115" s="694">
        <f t="shared" si="644"/>
        <v>0</v>
      </c>
      <c r="AA115" s="694">
        <f t="shared" si="644"/>
        <v>0</v>
      </c>
      <c r="AB115" s="694">
        <f t="shared" si="644"/>
        <v>0</v>
      </c>
      <c r="AC115" s="694">
        <f t="shared" si="644"/>
        <v>0</v>
      </c>
      <c r="AD115" s="694">
        <f t="shared" si="644"/>
        <v>0</v>
      </c>
      <c r="AE115" s="694">
        <f t="shared" si="644"/>
        <v>0</v>
      </c>
      <c r="AF115" s="694">
        <f t="shared" si="644"/>
        <v>0</v>
      </c>
      <c r="AG115" s="694">
        <f t="shared" si="644"/>
        <v>0</v>
      </c>
      <c r="AH115" s="694">
        <f t="shared" si="644"/>
        <v>0</v>
      </c>
      <c r="AI115" s="694">
        <f>ROUND(IF(AI111-AI114&gt;0,AI111-AI114,0),4)</f>
        <v>0</v>
      </c>
      <c r="AL115" s="113"/>
      <c r="AN115" s="133"/>
      <c r="AO115" s="112"/>
      <c r="AP115" s="133"/>
      <c r="AQ115" s="112"/>
      <c r="AR115" s="133"/>
    </row>
    <row r="116" spans="1:44" s="136" customFormat="1" x14ac:dyDescent="0.2">
      <c r="A116" s="150"/>
      <c r="B116" s="151"/>
      <c r="C116" s="151"/>
      <c r="D116" s="151"/>
      <c r="E116" s="151"/>
      <c r="F116" s="151"/>
      <c r="G116" s="151"/>
      <c r="H116" s="151"/>
      <c r="I116" s="151"/>
      <c r="J116" s="151"/>
      <c r="K116" s="151"/>
      <c r="L116" s="151"/>
      <c r="M116" s="151"/>
      <c r="N116" s="151"/>
      <c r="O116" s="151"/>
      <c r="P116" s="151"/>
      <c r="Q116" s="151"/>
      <c r="R116" s="151"/>
      <c r="S116" s="151"/>
      <c r="T116" s="151"/>
      <c r="U116" s="151"/>
      <c r="V116" s="151"/>
      <c r="W116" s="151"/>
      <c r="X116" s="152"/>
      <c r="Y116" s="152"/>
      <c r="Z116" s="152"/>
      <c r="AA116" s="152"/>
      <c r="AB116" s="152"/>
      <c r="AC116" s="152"/>
      <c r="AD116" s="152"/>
      <c r="AE116" s="152"/>
      <c r="AF116" s="152"/>
      <c r="AG116" s="152"/>
      <c r="AH116" s="152"/>
      <c r="AI116" s="152"/>
      <c r="AL116" s="113"/>
      <c r="AN116" s="133"/>
      <c r="AO116" s="112"/>
      <c r="AP116" s="133"/>
      <c r="AQ116" s="112"/>
      <c r="AR116" s="133"/>
    </row>
    <row r="117" spans="1:44" s="203" customFormat="1" x14ac:dyDescent="0.2">
      <c r="A117" s="44" t="s">
        <v>44</v>
      </c>
      <c r="B117" s="784">
        <f t="shared" ref="B117:AG117" si="645">B75</f>
        <v>2019</v>
      </c>
      <c r="C117" s="784">
        <f t="shared" si="645"/>
        <v>2020</v>
      </c>
      <c r="D117" s="784">
        <f t="shared" si="645"/>
        <v>2021</v>
      </c>
      <c r="E117" s="784">
        <f t="shared" si="645"/>
        <v>2022</v>
      </c>
      <c r="F117" s="784">
        <f t="shared" si="645"/>
        <v>2023</v>
      </c>
      <c r="G117" s="784">
        <f t="shared" si="645"/>
        <v>2024</v>
      </c>
      <c r="H117" s="784">
        <f t="shared" si="645"/>
        <v>2025</v>
      </c>
      <c r="I117" s="784">
        <f t="shared" si="645"/>
        <v>2026</v>
      </c>
      <c r="J117" s="784">
        <f t="shared" si="645"/>
        <v>2027</v>
      </c>
      <c r="K117" s="784">
        <f t="shared" si="645"/>
        <v>2028</v>
      </c>
      <c r="L117" s="784">
        <f t="shared" si="645"/>
        <v>2029</v>
      </c>
      <c r="M117" s="784">
        <f t="shared" si="645"/>
        <v>2030</v>
      </c>
      <c r="N117" s="784">
        <f t="shared" si="645"/>
        <v>2031</v>
      </c>
      <c r="O117" s="784">
        <f t="shared" si="645"/>
        <v>2032</v>
      </c>
      <c r="P117" s="784">
        <f t="shared" si="645"/>
        <v>2033</v>
      </c>
      <c r="Q117" s="784">
        <f t="shared" si="645"/>
        <v>2034</v>
      </c>
      <c r="R117" s="784">
        <f t="shared" si="645"/>
        <v>2035</v>
      </c>
      <c r="S117" s="784">
        <f t="shared" si="645"/>
        <v>2036</v>
      </c>
      <c r="T117" s="784">
        <f t="shared" si="645"/>
        <v>2037</v>
      </c>
      <c r="U117" s="784">
        <f t="shared" si="645"/>
        <v>2038</v>
      </c>
      <c r="V117" s="784">
        <f t="shared" si="645"/>
        <v>2039</v>
      </c>
      <c r="W117" s="784">
        <f t="shared" si="645"/>
        <v>2040</v>
      </c>
      <c r="X117" s="784">
        <f t="shared" si="645"/>
        <v>2041</v>
      </c>
      <c r="Y117" s="784">
        <f t="shared" si="645"/>
        <v>2042</v>
      </c>
      <c r="Z117" s="784">
        <f t="shared" si="645"/>
        <v>2043</v>
      </c>
      <c r="AA117" s="784">
        <f t="shared" si="645"/>
        <v>2044</v>
      </c>
      <c r="AB117" s="784">
        <f t="shared" si="645"/>
        <v>2045</v>
      </c>
      <c r="AC117" s="784">
        <f t="shared" si="645"/>
        <v>2046</v>
      </c>
      <c r="AD117" s="784">
        <f t="shared" si="645"/>
        <v>2047</v>
      </c>
      <c r="AE117" s="784">
        <f t="shared" si="645"/>
        <v>2048</v>
      </c>
      <c r="AF117" s="784">
        <f t="shared" si="645"/>
        <v>2049</v>
      </c>
      <c r="AG117" s="784">
        <f t="shared" si="645"/>
        <v>2050</v>
      </c>
      <c r="AH117" s="784">
        <f>AH75</f>
        <v>2051</v>
      </c>
      <c r="AI117" s="784">
        <f>AI75</f>
        <v>2052</v>
      </c>
      <c r="AL117" s="780"/>
      <c r="AN117" s="781"/>
      <c r="AO117" s="782"/>
      <c r="AP117" s="781"/>
      <c r="AQ117" s="782"/>
      <c r="AR117" s="781"/>
    </row>
    <row r="118" spans="1:44" s="136" customFormat="1" x14ac:dyDescent="0.2">
      <c r="A118" s="146" t="s">
        <v>8</v>
      </c>
      <c r="B118" s="144"/>
      <c r="C118" s="144"/>
      <c r="D118" s="144"/>
      <c r="E118" s="144"/>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c r="AB118" s="144"/>
      <c r="AC118" s="144"/>
      <c r="AD118" s="144"/>
      <c r="AE118" s="144"/>
      <c r="AF118" s="144"/>
      <c r="AG118" s="144"/>
      <c r="AH118" s="144"/>
      <c r="AI118" s="144"/>
      <c r="AL118" s="113"/>
      <c r="AN118" s="133"/>
      <c r="AO118" s="112"/>
      <c r="AP118" s="133"/>
      <c r="AQ118" s="112"/>
      <c r="AR118" s="133"/>
    </row>
    <row r="119" spans="1:44" s="136" customFormat="1" x14ac:dyDescent="0.2">
      <c r="A119" s="147" t="s">
        <v>104</v>
      </c>
      <c r="B119" s="702">
        <f>B79+B99</f>
        <v>0</v>
      </c>
      <c r="C119" s="694">
        <f>C79+C99+B119</f>
        <v>86700</v>
      </c>
      <c r="D119" s="694">
        <f>D79+D99</f>
        <v>123100</v>
      </c>
      <c r="E119" s="694">
        <f t="shared" ref="E119:AG119" si="646">E79+E99</f>
        <v>123100</v>
      </c>
      <c r="F119" s="694">
        <f t="shared" si="646"/>
        <v>123100</v>
      </c>
      <c r="G119" s="694">
        <f t="shared" si="646"/>
        <v>123100</v>
      </c>
      <c r="H119" s="694">
        <f t="shared" si="646"/>
        <v>123100</v>
      </c>
      <c r="I119" s="694">
        <f t="shared" si="646"/>
        <v>123100</v>
      </c>
      <c r="J119" s="694">
        <f t="shared" si="646"/>
        <v>123100</v>
      </c>
      <c r="K119" s="694">
        <f t="shared" si="646"/>
        <v>123100</v>
      </c>
      <c r="L119" s="694">
        <f t="shared" si="646"/>
        <v>123100</v>
      </c>
      <c r="M119" s="694">
        <f t="shared" si="646"/>
        <v>123100</v>
      </c>
      <c r="N119" s="694">
        <f t="shared" si="646"/>
        <v>123100</v>
      </c>
      <c r="O119" s="694">
        <f t="shared" si="646"/>
        <v>123100</v>
      </c>
      <c r="P119" s="694">
        <f t="shared" si="646"/>
        <v>123100</v>
      </c>
      <c r="Q119" s="694">
        <f t="shared" si="646"/>
        <v>123100</v>
      </c>
      <c r="R119" s="694">
        <f t="shared" si="646"/>
        <v>123100</v>
      </c>
      <c r="S119" s="694">
        <f t="shared" si="646"/>
        <v>123100</v>
      </c>
      <c r="T119" s="694">
        <f t="shared" si="646"/>
        <v>123100</v>
      </c>
      <c r="U119" s="694">
        <f t="shared" si="646"/>
        <v>123100</v>
      </c>
      <c r="V119" s="694">
        <f t="shared" si="646"/>
        <v>123100</v>
      </c>
      <c r="W119" s="694">
        <f t="shared" si="646"/>
        <v>123100</v>
      </c>
      <c r="X119" s="694">
        <f t="shared" si="646"/>
        <v>123100</v>
      </c>
      <c r="Y119" s="694">
        <f t="shared" si="646"/>
        <v>123100</v>
      </c>
      <c r="Z119" s="694">
        <f t="shared" si="646"/>
        <v>123100</v>
      </c>
      <c r="AA119" s="694">
        <f t="shared" si="646"/>
        <v>123100</v>
      </c>
      <c r="AB119" s="694">
        <f t="shared" si="646"/>
        <v>123100</v>
      </c>
      <c r="AC119" s="694">
        <f t="shared" si="646"/>
        <v>123100</v>
      </c>
      <c r="AD119" s="694">
        <f t="shared" si="646"/>
        <v>123100</v>
      </c>
      <c r="AE119" s="694">
        <f t="shared" si="646"/>
        <v>123100</v>
      </c>
      <c r="AF119" s="694">
        <f t="shared" si="646"/>
        <v>123100</v>
      </c>
      <c r="AG119" s="694">
        <f t="shared" si="646"/>
        <v>123100</v>
      </c>
      <c r="AH119" s="694">
        <f>AH79+AH99</f>
        <v>123100</v>
      </c>
      <c r="AI119" s="694">
        <f>AI79+AI99</f>
        <v>123100</v>
      </c>
      <c r="AL119" s="113"/>
      <c r="AN119" s="133"/>
      <c r="AO119" s="112"/>
      <c r="AP119" s="133"/>
      <c r="AQ119" s="112"/>
      <c r="AR119" s="133"/>
    </row>
    <row r="120" spans="1:44" s="136" customFormat="1" x14ac:dyDescent="0.2">
      <c r="A120" s="147" t="s">
        <v>105</v>
      </c>
      <c r="B120" s="14">
        <f>1/'Kopējie pieņēmumi'!$B$27</f>
        <v>0.02</v>
      </c>
      <c r="C120" s="14">
        <f>B120</f>
        <v>0.02</v>
      </c>
      <c r="D120" s="14">
        <f t="shared" ref="D120:AH120" si="647">C120</f>
        <v>0.02</v>
      </c>
      <c r="E120" s="14">
        <f t="shared" si="647"/>
        <v>0.02</v>
      </c>
      <c r="F120" s="14">
        <f t="shared" si="647"/>
        <v>0.02</v>
      </c>
      <c r="G120" s="14">
        <f t="shared" si="647"/>
        <v>0.02</v>
      </c>
      <c r="H120" s="14">
        <f t="shared" si="647"/>
        <v>0.02</v>
      </c>
      <c r="I120" s="14">
        <f t="shared" si="647"/>
        <v>0.02</v>
      </c>
      <c r="J120" s="14">
        <f t="shared" si="647"/>
        <v>0.02</v>
      </c>
      <c r="K120" s="14">
        <f t="shared" si="647"/>
        <v>0.02</v>
      </c>
      <c r="L120" s="14">
        <f t="shared" si="647"/>
        <v>0.02</v>
      </c>
      <c r="M120" s="14">
        <f t="shared" si="647"/>
        <v>0.02</v>
      </c>
      <c r="N120" s="14">
        <f t="shared" si="647"/>
        <v>0.02</v>
      </c>
      <c r="O120" s="14">
        <f t="shared" si="647"/>
        <v>0.02</v>
      </c>
      <c r="P120" s="14">
        <f t="shared" si="647"/>
        <v>0.02</v>
      </c>
      <c r="Q120" s="14">
        <f t="shared" si="647"/>
        <v>0.02</v>
      </c>
      <c r="R120" s="14">
        <f t="shared" si="647"/>
        <v>0.02</v>
      </c>
      <c r="S120" s="14">
        <f t="shared" si="647"/>
        <v>0.02</v>
      </c>
      <c r="T120" s="14">
        <f t="shared" si="647"/>
        <v>0.02</v>
      </c>
      <c r="U120" s="14">
        <f t="shared" si="647"/>
        <v>0.02</v>
      </c>
      <c r="V120" s="14">
        <f t="shared" si="647"/>
        <v>0.02</v>
      </c>
      <c r="W120" s="14">
        <f t="shared" si="647"/>
        <v>0.02</v>
      </c>
      <c r="X120" s="14">
        <f t="shared" si="647"/>
        <v>0.02</v>
      </c>
      <c r="Y120" s="14">
        <f t="shared" si="647"/>
        <v>0.02</v>
      </c>
      <c r="Z120" s="14">
        <f t="shared" si="647"/>
        <v>0.02</v>
      </c>
      <c r="AA120" s="14">
        <f t="shared" si="647"/>
        <v>0.02</v>
      </c>
      <c r="AB120" s="14">
        <f t="shared" si="647"/>
        <v>0.02</v>
      </c>
      <c r="AC120" s="14">
        <f t="shared" si="647"/>
        <v>0.02</v>
      </c>
      <c r="AD120" s="14">
        <f t="shared" si="647"/>
        <v>0.02</v>
      </c>
      <c r="AE120" s="14">
        <f t="shared" si="647"/>
        <v>0.02</v>
      </c>
      <c r="AF120" s="14">
        <f t="shared" si="647"/>
        <v>0.02</v>
      </c>
      <c r="AG120" s="14">
        <f t="shared" si="647"/>
        <v>0.02</v>
      </c>
      <c r="AH120" s="14">
        <f t="shared" si="647"/>
        <v>0.02</v>
      </c>
      <c r="AI120" s="14">
        <f>AH120</f>
        <v>0.02</v>
      </c>
      <c r="AL120" s="113"/>
      <c r="AN120" s="133"/>
      <c r="AO120" s="112"/>
      <c r="AP120" s="133"/>
      <c r="AQ120" s="112"/>
      <c r="AR120" s="133"/>
    </row>
    <row r="121" spans="1:44" s="136" customFormat="1" x14ac:dyDescent="0.2">
      <c r="A121" s="147" t="s">
        <v>106</v>
      </c>
      <c r="B121" s="703">
        <v>0</v>
      </c>
      <c r="C121" s="694">
        <f t="shared" ref="C121:AG121" si="648">IF(B123&gt;0,IF(C119-B119&gt;0,0,C120*C119),0)</f>
        <v>0</v>
      </c>
      <c r="D121" s="694">
        <f t="shared" si="648"/>
        <v>0</v>
      </c>
      <c r="E121" s="694">
        <f t="shared" si="648"/>
        <v>2462</v>
      </c>
      <c r="F121" s="694">
        <f t="shared" si="648"/>
        <v>2462</v>
      </c>
      <c r="G121" s="694">
        <f t="shared" si="648"/>
        <v>2462</v>
      </c>
      <c r="H121" s="694">
        <f t="shared" si="648"/>
        <v>2462</v>
      </c>
      <c r="I121" s="694">
        <f t="shared" si="648"/>
        <v>2462</v>
      </c>
      <c r="J121" s="694">
        <f t="shared" si="648"/>
        <v>2462</v>
      </c>
      <c r="K121" s="694">
        <f t="shared" si="648"/>
        <v>2462</v>
      </c>
      <c r="L121" s="694">
        <f t="shared" si="648"/>
        <v>2462</v>
      </c>
      <c r="M121" s="694">
        <f t="shared" si="648"/>
        <v>2462</v>
      </c>
      <c r="N121" s="694">
        <f t="shared" si="648"/>
        <v>2462</v>
      </c>
      <c r="O121" s="694">
        <f t="shared" si="648"/>
        <v>2462</v>
      </c>
      <c r="P121" s="694">
        <f t="shared" si="648"/>
        <v>2462</v>
      </c>
      <c r="Q121" s="694">
        <f t="shared" si="648"/>
        <v>2462</v>
      </c>
      <c r="R121" s="694">
        <f t="shared" si="648"/>
        <v>2462</v>
      </c>
      <c r="S121" s="694">
        <f t="shared" si="648"/>
        <v>2462</v>
      </c>
      <c r="T121" s="694">
        <f t="shared" si="648"/>
        <v>2462</v>
      </c>
      <c r="U121" s="694">
        <f t="shared" si="648"/>
        <v>2462</v>
      </c>
      <c r="V121" s="694">
        <f t="shared" si="648"/>
        <v>2462</v>
      </c>
      <c r="W121" s="694">
        <f t="shared" si="648"/>
        <v>2462</v>
      </c>
      <c r="X121" s="694">
        <f t="shared" si="648"/>
        <v>2462</v>
      </c>
      <c r="Y121" s="694">
        <f t="shared" si="648"/>
        <v>2462</v>
      </c>
      <c r="Z121" s="694">
        <f t="shared" si="648"/>
        <v>2462</v>
      </c>
      <c r="AA121" s="694">
        <f t="shared" si="648"/>
        <v>2462</v>
      </c>
      <c r="AB121" s="694">
        <f t="shared" si="648"/>
        <v>2462</v>
      </c>
      <c r="AC121" s="694">
        <f t="shared" si="648"/>
        <v>2462</v>
      </c>
      <c r="AD121" s="694">
        <f t="shared" si="648"/>
        <v>2462</v>
      </c>
      <c r="AE121" s="694">
        <f t="shared" si="648"/>
        <v>2462</v>
      </c>
      <c r="AF121" s="694">
        <f t="shared" si="648"/>
        <v>2462</v>
      </c>
      <c r="AG121" s="694">
        <f t="shared" si="648"/>
        <v>2462</v>
      </c>
      <c r="AH121" s="694">
        <f>IF(AG123&gt;0,IF(AH119-AG119&gt;0,0,AH120*AH119),0)</f>
        <v>2462</v>
      </c>
      <c r="AI121" s="694">
        <f>IF(AH123&gt;0,IF(AI119-AH119&gt;0,0,AI120*AI119),0)</f>
        <v>2462</v>
      </c>
      <c r="AL121" s="113"/>
      <c r="AN121" s="133"/>
      <c r="AO121" s="112"/>
      <c r="AP121" s="133"/>
      <c r="AQ121" s="112"/>
      <c r="AR121" s="133"/>
    </row>
    <row r="122" spans="1:44" s="136" customFormat="1" x14ac:dyDescent="0.2">
      <c r="A122" s="147" t="s">
        <v>107</v>
      </c>
      <c r="B122" s="694">
        <f>B121</f>
        <v>0</v>
      </c>
      <c r="C122" s="694">
        <f t="shared" ref="C122:AG122" si="649">C121+B122</f>
        <v>0</v>
      </c>
      <c r="D122" s="694">
        <f t="shared" si="649"/>
        <v>0</v>
      </c>
      <c r="E122" s="694">
        <f t="shared" si="649"/>
        <v>2462</v>
      </c>
      <c r="F122" s="694">
        <f t="shared" si="649"/>
        <v>4924</v>
      </c>
      <c r="G122" s="694">
        <f t="shared" si="649"/>
        <v>7386</v>
      </c>
      <c r="H122" s="694">
        <f t="shared" si="649"/>
        <v>9848</v>
      </c>
      <c r="I122" s="694">
        <f t="shared" si="649"/>
        <v>12310</v>
      </c>
      <c r="J122" s="694">
        <f t="shared" si="649"/>
        <v>14772</v>
      </c>
      <c r="K122" s="694">
        <f t="shared" si="649"/>
        <v>17234</v>
      </c>
      <c r="L122" s="694">
        <f t="shared" si="649"/>
        <v>19696</v>
      </c>
      <c r="M122" s="694">
        <f t="shared" si="649"/>
        <v>22158</v>
      </c>
      <c r="N122" s="694">
        <f t="shared" si="649"/>
        <v>24620</v>
      </c>
      <c r="O122" s="694">
        <f t="shared" si="649"/>
        <v>27082</v>
      </c>
      <c r="P122" s="694">
        <f t="shared" si="649"/>
        <v>29544</v>
      </c>
      <c r="Q122" s="694">
        <f t="shared" si="649"/>
        <v>32006</v>
      </c>
      <c r="R122" s="694">
        <f t="shared" si="649"/>
        <v>34468</v>
      </c>
      <c r="S122" s="694">
        <f t="shared" si="649"/>
        <v>36930</v>
      </c>
      <c r="T122" s="694">
        <f t="shared" si="649"/>
        <v>39392</v>
      </c>
      <c r="U122" s="694">
        <f t="shared" si="649"/>
        <v>41854</v>
      </c>
      <c r="V122" s="694">
        <f t="shared" si="649"/>
        <v>44316</v>
      </c>
      <c r="W122" s="694">
        <f t="shared" si="649"/>
        <v>46778</v>
      </c>
      <c r="X122" s="694">
        <f t="shared" si="649"/>
        <v>49240</v>
      </c>
      <c r="Y122" s="694">
        <f t="shared" si="649"/>
        <v>51702</v>
      </c>
      <c r="Z122" s="694">
        <f t="shared" si="649"/>
        <v>54164</v>
      </c>
      <c r="AA122" s="694">
        <f t="shared" si="649"/>
        <v>56626</v>
      </c>
      <c r="AB122" s="694">
        <f t="shared" si="649"/>
        <v>59088</v>
      </c>
      <c r="AC122" s="694">
        <f t="shared" si="649"/>
        <v>61550</v>
      </c>
      <c r="AD122" s="694">
        <f t="shared" si="649"/>
        <v>64012</v>
      </c>
      <c r="AE122" s="694">
        <f t="shared" si="649"/>
        <v>66474</v>
      </c>
      <c r="AF122" s="694">
        <f t="shared" si="649"/>
        <v>68936</v>
      </c>
      <c r="AG122" s="694">
        <f t="shared" si="649"/>
        <v>71398</v>
      </c>
      <c r="AH122" s="694">
        <f>AH121+AG122</f>
        <v>73860</v>
      </c>
      <c r="AI122" s="694">
        <f>AI121+AH122</f>
        <v>76322</v>
      </c>
      <c r="AL122" s="113"/>
      <c r="AN122" s="133"/>
      <c r="AO122" s="112"/>
      <c r="AP122" s="133"/>
      <c r="AQ122" s="112"/>
      <c r="AR122" s="133"/>
    </row>
    <row r="123" spans="1:44" s="136" customFormat="1" x14ac:dyDescent="0.2">
      <c r="A123" s="147" t="s">
        <v>108</v>
      </c>
      <c r="B123" s="694">
        <f t="shared" ref="B123:AG123" si="650">ROUND(IF(B119-B122&gt;0,B119-B122,0),0)</f>
        <v>0</v>
      </c>
      <c r="C123" s="694">
        <f t="shared" si="650"/>
        <v>86700</v>
      </c>
      <c r="D123" s="694">
        <f t="shared" si="650"/>
        <v>123100</v>
      </c>
      <c r="E123" s="694">
        <f t="shared" si="650"/>
        <v>120638</v>
      </c>
      <c r="F123" s="694">
        <f t="shared" si="650"/>
        <v>118176</v>
      </c>
      <c r="G123" s="694">
        <f t="shared" si="650"/>
        <v>115714</v>
      </c>
      <c r="H123" s="694">
        <f t="shared" si="650"/>
        <v>113252</v>
      </c>
      <c r="I123" s="694">
        <f t="shared" si="650"/>
        <v>110790</v>
      </c>
      <c r="J123" s="694">
        <f t="shared" si="650"/>
        <v>108328</v>
      </c>
      <c r="K123" s="694">
        <f t="shared" si="650"/>
        <v>105866</v>
      </c>
      <c r="L123" s="694">
        <f t="shared" si="650"/>
        <v>103404</v>
      </c>
      <c r="M123" s="694">
        <f t="shared" si="650"/>
        <v>100942</v>
      </c>
      <c r="N123" s="694">
        <f t="shared" si="650"/>
        <v>98480</v>
      </c>
      <c r="O123" s="694">
        <f t="shared" si="650"/>
        <v>96018</v>
      </c>
      <c r="P123" s="694">
        <f t="shared" si="650"/>
        <v>93556</v>
      </c>
      <c r="Q123" s="694">
        <f t="shared" si="650"/>
        <v>91094</v>
      </c>
      <c r="R123" s="694">
        <f t="shared" si="650"/>
        <v>88632</v>
      </c>
      <c r="S123" s="694">
        <f t="shared" si="650"/>
        <v>86170</v>
      </c>
      <c r="T123" s="694">
        <f t="shared" si="650"/>
        <v>83708</v>
      </c>
      <c r="U123" s="694">
        <f t="shared" si="650"/>
        <v>81246</v>
      </c>
      <c r="V123" s="694">
        <f t="shared" si="650"/>
        <v>78784</v>
      </c>
      <c r="W123" s="694">
        <f t="shared" si="650"/>
        <v>76322</v>
      </c>
      <c r="X123" s="694">
        <f t="shared" si="650"/>
        <v>73860</v>
      </c>
      <c r="Y123" s="694">
        <f t="shared" si="650"/>
        <v>71398</v>
      </c>
      <c r="Z123" s="694">
        <f t="shared" si="650"/>
        <v>68936</v>
      </c>
      <c r="AA123" s="694">
        <f t="shared" si="650"/>
        <v>66474</v>
      </c>
      <c r="AB123" s="694">
        <f t="shared" si="650"/>
        <v>64012</v>
      </c>
      <c r="AC123" s="694">
        <f t="shared" si="650"/>
        <v>61550</v>
      </c>
      <c r="AD123" s="694">
        <f t="shared" si="650"/>
        <v>59088</v>
      </c>
      <c r="AE123" s="694">
        <f t="shared" si="650"/>
        <v>56626</v>
      </c>
      <c r="AF123" s="694">
        <f t="shared" si="650"/>
        <v>54164</v>
      </c>
      <c r="AG123" s="694">
        <f t="shared" si="650"/>
        <v>51702</v>
      </c>
      <c r="AH123" s="694">
        <f>ROUND(IF(AH119-AH122&gt;0,AH119-AH122,0),0)</f>
        <v>49240</v>
      </c>
      <c r="AI123" s="694">
        <f>ROUND(IF(AI119-AI122&gt;0,AI119-AI122,0),0)</f>
        <v>46778</v>
      </c>
      <c r="AL123" s="113"/>
      <c r="AN123" s="133"/>
      <c r="AO123" s="112"/>
      <c r="AP123" s="133"/>
      <c r="AQ123" s="112"/>
      <c r="AR123" s="133"/>
    </row>
    <row r="124" spans="1:44" s="136" customFormat="1" x14ac:dyDescent="0.2">
      <c r="A124" s="146" t="s">
        <v>9</v>
      </c>
      <c r="B124" s="144"/>
      <c r="C124" s="144"/>
      <c r="D124" s="144"/>
      <c r="E124" s="699"/>
      <c r="F124" s="699"/>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L124" s="113"/>
      <c r="AN124" s="133"/>
      <c r="AO124" s="112"/>
      <c r="AP124" s="133"/>
      <c r="AQ124" s="112"/>
      <c r="AR124" s="133"/>
    </row>
    <row r="125" spans="1:44" s="136" customFormat="1" x14ac:dyDescent="0.2">
      <c r="A125" s="147" t="s">
        <v>104</v>
      </c>
      <c r="B125" s="694">
        <f>B85+B105</f>
        <v>0</v>
      </c>
      <c r="C125" s="694">
        <f t="shared" ref="C125:AG125" si="651">C85+C105</f>
        <v>61200</v>
      </c>
      <c r="D125" s="694">
        <f t="shared" si="651"/>
        <v>61200</v>
      </c>
      <c r="E125" s="694">
        <f t="shared" si="651"/>
        <v>61200</v>
      </c>
      <c r="F125" s="694">
        <f t="shared" si="651"/>
        <v>61200</v>
      </c>
      <c r="G125" s="694">
        <f t="shared" si="651"/>
        <v>61200</v>
      </c>
      <c r="H125" s="694">
        <f t="shared" si="651"/>
        <v>61200</v>
      </c>
      <c r="I125" s="694">
        <f t="shared" si="651"/>
        <v>61200</v>
      </c>
      <c r="J125" s="694">
        <f t="shared" si="651"/>
        <v>61200</v>
      </c>
      <c r="K125" s="694">
        <f t="shared" si="651"/>
        <v>61200</v>
      </c>
      <c r="L125" s="694">
        <f t="shared" si="651"/>
        <v>61200</v>
      </c>
      <c r="M125" s="694">
        <f t="shared" si="651"/>
        <v>61200</v>
      </c>
      <c r="N125" s="694">
        <f t="shared" si="651"/>
        <v>61200</v>
      </c>
      <c r="O125" s="694">
        <f t="shared" si="651"/>
        <v>61200</v>
      </c>
      <c r="P125" s="694">
        <f t="shared" si="651"/>
        <v>61200</v>
      </c>
      <c r="Q125" s="694">
        <f t="shared" si="651"/>
        <v>61200</v>
      </c>
      <c r="R125" s="694">
        <f t="shared" si="651"/>
        <v>61200</v>
      </c>
      <c r="S125" s="694">
        <f t="shared" si="651"/>
        <v>61200</v>
      </c>
      <c r="T125" s="694">
        <f t="shared" si="651"/>
        <v>61200</v>
      </c>
      <c r="U125" s="694">
        <f t="shared" si="651"/>
        <v>61200</v>
      </c>
      <c r="V125" s="694">
        <f t="shared" si="651"/>
        <v>61200</v>
      </c>
      <c r="W125" s="694">
        <f t="shared" si="651"/>
        <v>61200</v>
      </c>
      <c r="X125" s="694">
        <f t="shared" si="651"/>
        <v>61200</v>
      </c>
      <c r="Y125" s="694">
        <f t="shared" si="651"/>
        <v>61200</v>
      </c>
      <c r="Z125" s="694">
        <f t="shared" si="651"/>
        <v>61200</v>
      </c>
      <c r="AA125" s="694">
        <f t="shared" si="651"/>
        <v>61200</v>
      </c>
      <c r="AB125" s="694">
        <f t="shared" si="651"/>
        <v>61200</v>
      </c>
      <c r="AC125" s="694">
        <f t="shared" si="651"/>
        <v>61200</v>
      </c>
      <c r="AD125" s="694">
        <f t="shared" si="651"/>
        <v>61200</v>
      </c>
      <c r="AE125" s="694">
        <f t="shared" si="651"/>
        <v>61200</v>
      </c>
      <c r="AF125" s="694">
        <f t="shared" si="651"/>
        <v>61200</v>
      </c>
      <c r="AG125" s="694">
        <f t="shared" si="651"/>
        <v>61200</v>
      </c>
      <c r="AH125" s="694">
        <f>AH85+AH105</f>
        <v>61200</v>
      </c>
      <c r="AI125" s="694">
        <f>AI85+AI105</f>
        <v>61200</v>
      </c>
      <c r="AL125" s="113"/>
      <c r="AN125" s="133"/>
      <c r="AO125" s="112"/>
      <c r="AP125" s="133"/>
      <c r="AQ125" s="112"/>
      <c r="AR125" s="133"/>
    </row>
    <row r="126" spans="1:44" s="136" customFormat="1" x14ac:dyDescent="0.2">
      <c r="A126" s="147" t="s">
        <v>105</v>
      </c>
      <c r="B126" s="14">
        <f>1/'Kopējie pieņēmumi'!$B$28</f>
        <v>0.1</v>
      </c>
      <c r="C126" s="14">
        <f>B126</f>
        <v>0.1</v>
      </c>
      <c r="D126" s="14">
        <f t="shared" ref="D126:AH126" si="652">C126</f>
        <v>0.1</v>
      </c>
      <c r="E126" s="14">
        <f t="shared" si="652"/>
        <v>0.1</v>
      </c>
      <c r="F126" s="14">
        <f t="shared" si="652"/>
        <v>0.1</v>
      </c>
      <c r="G126" s="14">
        <f t="shared" si="652"/>
        <v>0.1</v>
      </c>
      <c r="H126" s="14">
        <f t="shared" si="652"/>
        <v>0.1</v>
      </c>
      <c r="I126" s="14">
        <f t="shared" si="652"/>
        <v>0.1</v>
      </c>
      <c r="J126" s="14">
        <f t="shared" si="652"/>
        <v>0.1</v>
      </c>
      <c r="K126" s="14">
        <f t="shared" si="652"/>
        <v>0.1</v>
      </c>
      <c r="L126" s="14">
        <f t="shared" si="652"/>
        <v>0.1</v>
      </c>
      <c r="M126" s="14">
        <f t="shared" si="652"/>
        <v>0.1</v>
      </c>
      <c r="N126" s="14">
        <f t="shared" si="652"/>
        <v>0.1</v>
      </c>
      <c r="O126" s="14">
        <f t="shared" si="652"/>
        <v>0.1</v>
      </c>
      <c r="P126" s="14">
        <f t="shared" si="652"/>
        <v>0.1</v>
      </c>
      <c r="Q126" s="14">
        <f t="shared" si="652"/>
        <v>0.1</v>
      </c>
      <c r="R126" s="14">
        <f t="shared" si="652"/>
        <v>0.1</v>
      </c>
      <c r="S126" s="14">
        <f t="shared" si="652"/>
        <v>0.1</v>
      </c>
      <c r="T126" s="14">
        <f t="shared" si="652"/>
        <v>0.1</v>
      </c>
      <c r="U126" s="14">
        <f t="shared" si="652"/>
        <v>0.1</v>
      </c>
      <c r="V126" s="14">
        <f t="shared" si="652"/>
        <v>0.1</v>
      </c>
      <c r="W126" s="14">
        <f t="shared" si="652"/>
        <v>0.1</v>
      </c>
      <c r="X126" s="14">
        <f t="shared" si="652"/>
        <v>0.1</v>
      </c>
      <c r="Y126" s="14">
        <f t="shared" si="652"/>
        <v>0.1</v>
      </c>
      <c r="Z126" s="14">
        <f t="shared" si="652"/>
        <v>0.1</v>
      </c>
      <c r="AA126" s="14">
        <f t="shared" si="652"/>
        <v>0.1</v>
      </c>
      <c r="AB126" s="14">
        <f t="shared" si="652"/>
        <v>0.1</v>
      </c>
      <c r="AC126" s="14">
        <f t="shared" si="652"/>
        <v>0.1</v>
      </c>
      <c r="AD126" s="14">
        <f t="shared" si="652"/>
        <v>0.1</v>
      </c>
      <c r="AE126" s="14">
        <f t="shared" si="652"/>
        <v>0.1</v>
      </c>
      <c r="AF126" s="14">
        <f t="shared" si="652"/>
        <v>0.1</v>
      </c>
      <c r="AG126" s="14">
        <f t="shared" si="652"/>
        <v>0.1</v>
      </c>
      <c r="AH126" s="14">
        <f t="shared" si="652"/>
        <v>0.1</v>
      </c>
      <c r="AI126" s="14">
        <f>AH126</f>
        <v>0.1</v>
      </c>
      <c r="AL126" s="113"/>
      <c r="AN126" s="133"/>
      <c r="AO126" s="112"/>
      <c r="AP126" s="133"/>
      <c r="AQ126" s="112"/>
      <c r="AR126" s="133"/>
    </row>
    <row r="127" spans="1:44" s="136" customFormat="1" x14ac:dyDescent="0.2">
      <c r="A127" s="147" t="s">
        <v>106</v>
      </c>
      <c r="B127" s="703">
        <v>0</v>
      </c>
      <c r="C127" s="694">
        <f t="shared" ref="C127:AG127" si="653">IF(B129&gt;0,IF(C125-B125&gt;0,0,C126*C125),0)</f>
        <v>0</v>
      </c>
      <c r="D127" s="694">
        <f t="shared" si="653"/>
        <v>6120</v>
      </c>
      <c r="E127" s="694">
        <f t="shared" si="653"/>
        <v>6120</v>
      </c>
      <c r="F127" s="694">
        <f t="shared" si="653"/>
        <v>6120</v>
      </c>
      <c r="G127" s="694">
        <f t="shared" si="653"/>
        <v>6120</v>
      </c>
      <c r="H127" s="694">
        <f t="shared" si="653"/>
        <v>6120</v>
      </c>
      <c r="I127" s="694">
        <f t="shared" si="653"/>
        <v>6120</v>
      </c>
      <c r="J127" s="694">
        <f t="shared" si="653"/>
        <v>6120</v>
      </c>
      <c r="K127" s="694">
        <f t="shared" si="653"/>
        <v>6120</v>
      </c>
      <c r="L127" s="694">
        <f t="shared" si="653"/>
        <v>6120</v>
      </c>
      <c r="M127" s="694">
        <f t="shared" si="653"/>
        <v>6120</v>
      </c>
      <c r="N127" s="694">
        <f t="shared" si="653"/>
        <v>0</v>
      </c>
      <c r="O127" s="694">
        <f t="shared" si="653"/>
        <v>0</v>
      </c>
      <c r="P127" s="694">
        <f t="shared" si="653"/>
        <v>0</v>
      </c>
      <c r="Q127" s="694">
        <f t="shared" si="653"/>
        <v>0</v>
      </c>
      <c r="R127" s="694">
        <f t="shared" si="653"/>
        <v>0</v>
      </c>
      <c r="S127" s="694">
        <f t="shared" si="653"/>
        <v>0</v>
      </c>
      <c r="T127" s="694">
        <f t="shared" si="653"/>
        <v>0</v>
      </c>
      <c r="U127" s="694">
        <f t="shared" si="653"/>
        <v>0</v>
      </c>
      <c r="V127" s="694">
        <f t="shared" si="653"/>
        <v>0</v>
      </c>
      <c r="W127" s="694">
        <f t="shared" si="653"/>
        <v>0</v>
      </c>
      <c r="X127" s="694">
        <f t="shared" si="653"/>
        <v>0</v>
      </c>
      <c r="Y127" s="694">
        <f t="shared" si="653"/>
        <v>0</v>
      </c>
      <c r="Z127" s="694">
        <f t="shared" si="653"/>
        <v>0</v>
      </c>
      <c r="AA127" s="694">
        <f t="shared" si="653"/>
        <v>0</v>
      </c>
      <c r="AB127" s="694">
        <f t="shared" si="653"/>
        <v>0</v>
      </c>
      <c r="AC127" s="694">
        <f t="shared" si="653"/>
        <v>0</v>
      </c>
      <c r="AD127" s="694">
        <f t="shared" si="653"/>
        <v>0</v>
      </c>
      <c r="AE127" s="694">
        <f t="shared" si="653"/>
        <v>0</v>
      </c>
      <c r="AF127" s="694">
        <f t="shared" si="653"/>
        <v>0</v>
      </c>
      <c r="AG127" s="694">
        <f t="shared" si="653"/>
        <v>0</v>
      </c>
      <c r="AH127" s="694">
        <f>IF(AG129&gt;0,IF(AH125-AG125&gt;0,0,AH126*AH125),0)</f>
        <v>0</v>
      </c>
      <c r="AI127" s="694">
        <f>IF(AH129&gt;0,IF(AI125-AH125&gt;0,0,AI126*AI125),0)</f>
        <v>0</v>
      </c>
      <c r="AL127" s="113"/>
      <c r="AN127" s="133"/>
      <c r="AO127" s="112"/>
      <c r="AP127" s="133"/>
      <c r="AQ127" s="112"/>
      <c r="AR127" s="133"/>
    </row>
    <row r="128" spans="1:44" s="136" customFormat="1" x14ac:dyDescent="0.2">
      <c r="A128" s="147" t="s">
        <v>107</v>
      </c>
      <c r="B128" s="694">
        <f>B127</f>
        <v>0</v>
      </c>
      <c r="C128" s="694">
        <f t="shared" ref="C128:AG128" si="654">C127+B128</f>
        <v>0</v>
      </c>
      <c r="D128" s="694">
        <f t="shared" si="654"/>
        <v>6120</v>
      </c>
      <c r="E128" s="694">
        <f t="shared" si="654"/>
        <v>12240</v>
      </c>
      <c r="F128" s="694">
        <f t="shared" si="654"/>
        <v>18360</v>
      </c>
      <c r="G128" s="694">
        <f t="shared" si="654"/>
        <v>24480</v>
      </c>
      <c r="H128" s="694">
        <f t="shared" si="654"/>
        <v>30600</v>
      </c>
      <c r="I128" s="694">
        <f t="shared" si="654"/>
        <v>36720</v>
      </c>
      <c r="J128" s="694">
        <f t="shared" si="654"/>
        <v>42840</v>
      </c>
      <c r="K128" s="694">
        <f t="shared" si="654"/>
        <v>48960</v>
      </c>
      <c r="L128" s="694">
        <f t="shared" si="654"/>
        <v>55080</v>
      </c>
      <c r="M128" s="694">
        <f t="shared" si="654"/>
        <v>61200</v>
      </c>
      <c r="N128" s="694">
        <f t="shared" si="654"/>
        <v>61200</v>
      </c>
      <c r="O128" s="694">
        <f t="shared" si="654"/>
        <v>61200</v>
      </c>
      <c r="P128" s="694">
        <f t="shared" si="654"/>
        <v>61200</v>
      </c>
      <c r="Q128" s="694">
        <f t="shared" si="654"/>
        <v>61200</v>
      </c>
      <c r="R128" s="694">
        <f t="shared" si="654"/>
        <v>61200</v>
      </c>
      <c r="S128" s="694">
        <f t="shared" si="654"/>
        <v>61200</v>
      </c>
      <c r="T128" s="694">
        <f t="shared" si="654"/>
        <v>61200</v>
      </c>
      <c r="U128" s="694">
        <f t="shared" si="654"/>
        <v>61200</v>
      </c>
      <c r="V128" s="694">
        <f t="shared" si="654"/>
        <v>61200</v>
      </c>
      <c r="W128" s="694">
        <f t="shared" si="654"/>
        <v>61200</v>
      </c>
      <c r="X128" s="694">
        <f t="shared" si="654"/>
        <v>61200</v>
      </c>
      <c r="Y128" s="694">
        <f t="shared" si="654"/>
        <v>61200</v>
      </c>
      <c r="Z128" s="694">
        <f t="shared" si="654"/>
        <v>61200</v>
      </c>
      <c r="AA128" s="694">
        <f t="shared" si="654"/>
        <v>61200</v>
      </c>
      <c r="AB128" s="694">
        <f t="shared" si="654"/>
        <v>61200</v>
      </c>
      <c r="AC128" s="694">
        <f t="shared" si="654"/>
        <v>61200</v>
      </c>
      <c r="AD128" s="694">
        <f t="shared" si="654"/>
        <v>61200</v>
      </c>
      <c r="AE128" s="694">
        <f t="shared" si="654"/>
        <v>61200</v>
      </c>
      <c r="AF128" s="694">
        <f t="shared" si="654"/>
        <v>61200</v>
      </c>
      <c r="AG128" s="694">
        <f t="shared" si="654"/>
        <v>61200</v>
      </c>
      <c r="AH128" s="694">
        <f>AH127+AG128</f>
        <v>61200</v>
      </c>
      <c r="AI128" s="694">
        <f>AI127+AH128</f>
        <v>61200</v>
      </c>
      <c r="AL128" s="113"/>
      <c r="AN128" s="133"/>
      <c r="AO128" s="112"/>
      <c r="AP128" s="133"/>
      <c r="AQ128" s="112"/>
      <c r="AR128" s="133"/>
    </row>
    <row r="129" spans="1:44" s="136" customFormat="1" x14ac:dyDescent="0.2">
      <c r="A129" s="147" t="s">
        <v>108</v>
      </c>
      <c r="B129" s="694">
        <f t="shared" ref="B129:AG129" si="655">ROUND(IF(B125-B128&gt;0,B125-B128,0),0)</f>
        <v>0</v>
      </c>
      <c r="C129" s="694">
        <f t="shared" si="655"/>
        <v>61200</v>
      </c>
      <c r="D129" s="694">
        <f t="shared" si="655"/>
        <v>55080</v>
      </c>
      <c r="E129" s="694">
        <f t="shared" si="655"/>
        <v>48960</v>
      </c>
      <c r="F129" s="694">
        <f t="shared" si="655"/>
        <v>42840</v>
      </c>
      <c r="G129" s="694">
        <f t="shared" si="655"/>
        <v>36720</v>
      </c>
      <c r="H129" s="694">
        <f t="shared" si="655"/>
        <v>30600</v>
      </c>
      <c r="I129" s="694">
        <f t="shared" si="655"/>
        <v>24480</v>
      </c>
      <c r="J129" s="694">
        <f t="shared" si="655"/>
        <v>18360</v>
      </c>
      <c r="K129" s="694">
        <f t="shared" si="655"/>
        <v>12240</v>
      </c>
      <c r="L129" s="694">
        <f t="shared" si="655"/>
        <v>6120</v>
      </c>
      <c r="M129" s="694">
        <f t="shared" si="655"/>
        <v>0</v>
      </c>
      <c r="N129" s="694">
        <f t="shared" si="655"/>
        <v>0</v>
      </c>
      <c r="O129" s="694">
        <f t="shared" si="655"/>
        <v>0</v>
      </c>
      <c r="P129" s="694">
        <f t="shared" si="655"/>
        <v>0</v>
      </c>
      <c r="Q129" s="694">
        <f t="shared" si="655"/>
        <v>0</v>
      </c>
      <c r="R129" s="694">
        <f t="shared" si="655"/>
        <v>0</v>
      </c>
      <c r="S129" s="694">
        <f t="shared" si="655"/>
        <v>0</v>
      </c>
      <c r="T129" s="694">
        <f t="shared" si="655"/>
        <v>0</v>
      </c>
      <c r="U129" s="694">
        <f t="shared" si="655"/>
        <v>0</v>
      </c>
      <c r="V129" s="694">
        <f t="shared" si="655"/>
        <v>0</v>
      </c>
      <c r="W129" s="694">
        <f t="shared" si="655"/>
        <v>0</v>
      </c>
      <c r="X129" s="694">
        <f t="shared" si="655"/>
        <v>0</v>
      </c>
      <c r="Y129" s="694">
        <f t="shared" si="655"/>
        <v>0</v>
      </c>
      <c r="Z129" s="694">
        <f t="shared" si="655"/>
        <v>0</v>
      </c>
      <c r="AA129" s="694">
        <f t="shared" si="655"/>
        <v>0</v>
      </c>
      <c r="AB129" s="694">
        <f t="shared" si="655"/>
        <v>0</v>
      </c>
      <c r="AC129" s="694">
        <f t="shared" si="655"/>
        <v>0</v>
      </c>
      <c r="AD129" s="694">
        <f t="shared" si="655"/>
        <v>0</v>
      </c>
      <c r="AE129" s="694">
        <f t="shared" si="655"/>
        <v>0</v>
      </c>
      <c r="AF129" s="694">
        <f t="shared" si="655"/>
        <v>0</v>
      </c>
      <c r="AG129" s="694">
        <f t="shared" si="655"/>
        <v>0</v>
      </c>
      <c r="AH129" s="694">
        <f>ROUND(IF(AH125-AH128&gt;0,AH125-AH128,0),0)</f>
        <v>0</v>
      </c>
      <c r="AI129" s="694">
        <f>ROUND(IF(AI125-AI128&gt;0,AI125-AI128,0),0)</f>
        <v>0</v>
      </c>
      <c r="AL129" s="113"/>
      <c r="AN129" s="133"/>
      <c r="AO129" s="112"/>
      <c r="AP129" s="133"/>
      <c r="AQ129" s="112"/>
      <c r="AR129" s="133"/>
    </row>
    <row r="130" spans="1:44" s="136" customFormat="1" x14ac:dyDescent="0.2">
      <c r="A130" s="146" t="s">
        <v>10</v>
      </c>
      <c r="B130" s="699"/>
      <c r="C130" s="699"/>
      <c r="D130" s="699"/>
      <c r="E130" s="699"/>
      <c r="F130" s="699"/>
      <c r="G130" s="699"/>
      <c r="H130" s="699"/>
      <c r="I130" s="699"/>
      <c r="J130" s="699"/>
      <c r="K130" s="699"/>
      <c r="L130" s="699"/>
      <c r="M130" s="699"/>
      <c r="N130" s="699"/>
      <c r="O130" s="699"/>
      <c r="P130" s="699"/>
      <c r="Q130" s="699"/>
      <c r="R130" s="699"/>
      <c r="S130" s="699"/>
      <c r="T130" s="699"/>
      <c r="U130" s="699"/>
      <c r="V130" s="699"/>
      <c r="W130" s="699"/>
      <c r="X130" s="699"/>
      <c r="Y130" s="699"/>
      <c r="Z130" s="699"/>
      <c r="AA130" s="699"/>
      <c r="AB130" s="699"/>
      <c r="AC130" s="699"/>
      <c r="AD130" s="699"/>
      <c r="AE130" s="699"/>
      <c r="AF130" s="699"/>
      <c r="AG130" s="699"/>
      <c r="AH130" s="699"/>
      <c r="AI130" s="699"/>
      <c r="AL130" s="113"/>
      <c r="AN130" s="133"/>
      <c r="AO130" s="112"/>
      <c r="AP130" s="133"/>
      <c r="AQ130" s="112"/>
      <c r="AR130" s="133"/>
    </row>
    <row r="131" spans="1:44" s="136" customFormat="1" x14ac:dyDescent="0.2">
      <c r="A131" s="147" t="s">
        <v>104</v>
      </c>
      <c r="B131" s="694">
        <f>B91+B111</f>
        <v>0</v>
      </c>
      <c r="C131" s="694">
        <f t="shared" ref="C131:AG131" si="656">C91+C111</f>
        <v>98685</v>
      </c>
      <c r="D131" s="694">
        <f t="shared" si="656"/>
        <v>98685</v>
      </c>
      <c r="E131" s="694">
        <f t="shared" si="656"/>
        <v>98685</v>
      </c>
      <c r="F131" s="694">
        <f t="shared" si="656"/>
        <v>98685</v>
      </c>
      <c r="G131" s="694">
        <f t="shared" si="656"/>
        <v>98685</v>
      </c>
      <c r="H131" s="694">
        <f t="shared" si="656"/>
        <v>98685</v>
      </c>
      <c r="I131" s="694">
        <f t="shared" si="656"/>
        <v>98685</v>
      </c>
      <c r="J131" s="694">
        <f t="shared" si="656"/>
        <v>98685</v>
      </c>
      <c r="K131" s="694">
        <f t="shared" si="656"/>
        <v>98685</v>
      </c>
      <c r="L131" s="694">
        <f t="shared" si="656"/>
        <v>98685</v>
      </c>
      <c r="M131" s="694">
        <f t="shared" si="656"/>
        <v>98685</v>
      </c>
      <c r="N131" s="694">
        <f t="shared" si="656"/>
        <v>98685</v>
      </c>
      <c r="O131" s="694">
        <f t="shared" si="656"/>
        <v>98685</v>
      </c>
      <c r="P131" s="694">
        <f t="shared" si="656"/>
        <v>98685</v>
      </c>
      <c r="Q131" s="694">
        <f t="shared" si="656"/>
        <v>98685</v>
      </c>
      <c r="R131" s="694">
        <f t="shared" si="656"/>
        <v>98685</v>
      </c>
      <c r="S131" s="694">
        <f t="shared" si="656"/>
        <v>98685</v>
      </c>
      <c r="T131" s="694">
        <f t="shared" si="656"/>
        <v>98685</v>
      </c>
      <c r="U131" s="694">
        <f t="shared" si="656"/>
        <v>98685</v>
      </c>
      <c r="V131" s="694">
        <f t="shared" si="656"/>
        <v>98685</v>
      </c>
      <c r="W131" s="694">
        <f t="shared" si="656"/>
        <v>98685</v>
      </c>
      <c r="X131" s="694">
        <f t="shared" si="656"/>
        <v>98685</v>
      </c>
      <c r="Y131" s="694">
        <f t="shared" si="656"/>
        <v>98685</v>
      </c>
      <c r="Z131" s="694">
        <f t="shared" si="656"/>
        <v>98685</v>
      </c>
      <c r="AA131" s="694">
        <f t="shared" si="656"/>
        <v>98685</v>
      </c>
      <c r="AB131" s="694">
        <f t="shared" si="656"/>
        <v>98685</v>
      </c>
      <c r="AC131" s="694">
        <f t="shared" si="656"/>
        <v>98685</v>
      </c>
      <c r="AD131" s="694">
        <f t="shared" si="656"/>
        <v>98685</v>
      </c>
      <c r="AE131" s="694">
        <f t="shared" si="656"/>
        <v>98685</v>
      </c>
      <c r="AF131" s="694">
        <f t="shared" si="656"/>
        <v>98685</v>
      </c>
      <c r="AG131" s="694">
        <f t="shared" si="656"/>
        <v>98685</v>
      </c>
      <c r="AH131" s="694">
        <f>AH91+AH111</f>
        <v>98685</v>
      </c>
      <c r="AI131" s="694">
        <f>AI91+AI111</f>
        <v>98685</v>
      </c>
      <c r="AL131" s="113"/>
      <c r="AN131" s="133"/>
      <c r="AO131" s="112"/>
      <c r="AP131" s="133"/>
      <c r="AQ131" s="112"/>
      <c r="AR131" s="133"/>
    </row>
    <row r="132" spans="1:44" s="136" customFormat="1" x14ac:dyDescent="0.2">
      <c r="A132" s="147" t="s">
        <v>105</v>
      </c>
      <c r="B132" s="14">
        <f>1/'Kopējie pieņēmumi'!$B$29</f>
        <v>0.1</v>
      </c>
      <c r="C132" s="14">
        <f>B132</f>
        <v>0.1</v>
      </c>
      <c r="D132" s="14">
        <f t="shared" ref="D132:AH132" si="657">C132</f>
        <v>0.1</v>
      </c>
      <c r="E132" s="14">
        <f t="shared" si="657"/>
        <v>0.1</v>
      </c>
      <c r="F132" s="14">
        <f t="shared" si="657"/>
        <v>0.1</v>
      </c>
      <c r="G132" s="14">
        <f t="shared" si="657"/>
        <v>0.1</v>
      </c>
      <c r="H132" s="14">
        <f t="shared" si="657"/>
        <v>0.1</v>
      </c>
      <c r="I132" s="14">
        <f t="shared" si="657"/>
        <v>0.1</v>
      </c>
      <c r="J132" s="14">
        <f t="shared" si="657"/>
        <v>0.1</v>
      </c>
      <c r="K132" s="14">
        <f t="shared" si="657"/>
        <v>0.1</v>
      </c>
      <c r="L132" s="14">
        <f t="shared" si="657"/>
        <v>0.1</v>
      </c>
      <c r="M132" s="14">
        <f t="shared" si="657"/>
        <v>0.1</v>
      </c>
      <c r="N132" s="14">
        <f t="shared" si="657"/>
        <v>0.1</v>
      </c>
      <c r="O132" s="14">
        <f t="shared" si="657"/>
        <v>0.1</v>
      </c>
      <c r="P132" s="14">
        <f t="shared" si="657"/>
        <v>0.1</v>
      </c>
      <c r="Q132" s="14">
        <f t="shared" si="657"/>
        <v>0.1</v>
      </c>
      <c r="R132" s="14">
        <f t="shared" si="657"/>
        <v>0.1</v>
      </c>
      <c r="S132" s="14">
        <f t="shared" si="657"/>
        <v>0.1</v>
      </c>
      <c r="T132" s="14">
        <f t="shared" si="657"/>
        <v>0.1</v>
      </c>
      <c r="U132" s="14">
        <f t="shared" si="657"/>
        <v>0.1</v>
      </c>
      <c r="V132" s="14">
        <f t="shared" si="657"/>
        <v>0.1</v>
      </c>
      <c r="W132" s="14">
        <f t="shared" si="657"/>
        <v>0.1</v>
      </c>
      <c r="X132" s="14">
        <f t="shared" si="657"/>
        <v>0.1</v>
      </c>
      <c r="Y132" s="14">
        <f t="shared" si="657"/>
        <v>0.1</v>
      </c>
      <c r="Z132" s="14">
        <f t="shared" si="657"/>
        <v>0.1</v>
      </c>
      <c r="AA132" s="14">
        <f t="shared" si="657"/>
        <v>0.1</v>
      </c>
      <c r="AB132" s="14">
        <f t="shared" si="657"/>
        <v>0.1</v>
      </c>
      <c r="AC132" s="14">
        <f t="shared" si="657"/>
        <v>0.1</v>
      </c>
      <c r="AD132" s="14">
        <f t="shared" si="657"/>
        <v>0.1</v>
      </c>
      <c r="AE132" s="14">
        <f t="shared" si="657"/>
        <v>0.1</v>
      </c>
      <c r="AF132" s="14">
        <f t="shared" si="657"/>
        <v>0.1</v>
      </c>
      <c r="AG132" s="14">
        <f t="shared" si="657"/>
        <v>0.1</v>
      </c>
      <c r="AH132" s="14">
        <f t="shared" si="657"/>
        <v>0.1</v>
      </c>
      <c r="AI132" s="14">
        <f>AH132</f>
        <v>0.1</v>
      </c>
      <c r="AL132" s="113"/>
      <c r="AN132" s="133"/>
      <c r="AO132" s="112"/>
      <c r="AP132" s="133"/>
      <c r="AQ132" s="112"/>
      <c r="AR132" s="133"/>
    </row>
    <row r="133" spans="1:44" s="136" customFormat="1" x14ac:dyDescent="0.2">
      <c r="A133" s="147" t="s">
        <v>106</v>
      </c>
      <c r="B133" s="703">
        <v>0</v>
      </c>
      <c r="C133" s="13">
        <f t="shared" ref="C133:AG133" si="658">IF(B135&gt;0,IF(C131-B131&gt;0,0,C132*C131),0)</f>
        <v>0</v>
      </c>
      <c r="D133" s="13">
        <f t="shared" si="658"/>
        <v>9868.5</v>
      </c>
      <c r="E133" s="27">
        <f t="shared" si="658"/>
        <v>9868.5</v>
      </c>
      <c r="F133" s="13">
        <f t="shared" si="658"/>
        <v>9868.5</v>
      </c>
      <c r="G133" s="13">
        <f t="shared" si="658"/>
        <v>9868.5</v>
      </c>
      <c r="H133" s="13">
        <f t="shared" si="658"/>
        <v>9868.5</v>
      </c>
      <c r="I133" s="13">
        <f t="shared" si="658"/>
        <v>9868.5</v>
      </c>
      <c r="J133" s="13">
        <f t="shared" si="658"/>
        <v>9868.5</v>
      </c>
      <c r="K133" s="13">
        <f t="shared" si="658"/>
        <v>9868.5</v>
      </c>
      <c r="L133" s="13">
        <f t="shared" si="658"/>
        <v>9868.5</v>
      </c>
      <c r="M133" s="13">
        <f t="shared" si="658"/>
        <v>9868.5</v>
      </c>
      <c r="N133" s="13">
        <f t="shared" si="658"/>
        <v>0</v>
      </c>
      <c r="O133" s="13">
        <f t="shared" si="658"/>
        <v>0</v>
      </c>
      <c r="P133" s="13">
        <f t="shared" si="658"/>
        <v>0</v>
      </c>
      <c r="Q133" s="13">
        <f t="shared" si="658"/>
        <v>0</v>
      </c>
      <c r="R133" s="13">
        <f t="shared" si="658"/>
        <v>0</v>
      </c>
      <c r="S133" s="13">
        <f t="shared" si="658"/>
        <v>0</v>
      </c>
      <c r="T133" s="13">
        <f t="shared" si="658"/>
        <v>0</v>
      </c>
      <c r="U133" s="13">
        <f t="shared" si="658"/>
        <v>0</v>
      </c>
      <c r="V133" s="13">
        <f t="shared" si="658"/>
        <v>0</v>
      </c>
      <c r="W133" s="13">
        <f t="shared" si="658"/>
        <v>0</v>
      </c>
      <c r="X133" s="13">
        <f t="shared" si="658"/>
        <v>0</v>
      </c>
      <c r="Y133" s="13">
        <f t="shared" si="658"/>
        <v>0</v>
      </c>
      <c r="Z133" s="13">
        <f t="shared" si="658"/>
        <v>0</v>
      </c>
      <c r="AA133" s="13">
        <f t="shared" si="658"/>
        <v>0</v>
      </c>
      <c r="AB133" s="13">
        <f t="shared" si="658"/>
        <v>0</v>
      </c>
      <c r="AC133" s="13">
        <f t="shared" si="658"/>
        <v>0</v>
      </c>
      <c r="AD133" s="13">
        <f t="shared" si="658"/>
        <v>0</v>
      </c>
      <c r="AE133" s="13">
        <f t="shared" si="658"/>
        <v>0</v>
      </c>
      <c r="AF133" s="13">
        <f t="shared" si="658"/>
        <v>0</v>
      </c>
      <c r="AG133" s="13">
        <f t="shared" si="658"/>
        <v>0</v>
      </c>
      <c r="AH133" s="13">
        <f>IF(AG135&gt;0,IF(AH131-AG131&gt;0,0,AH132*AH131),0)</f>
        <v>0</v>
      </c>
      <c r="AI133" s="13">
        <f>IF(AH135&gt;0,IF(AI131-AH131&gt;0,0,AI132*AI131),0)</f>
        <v>0</v>
      </c>
      <c r="AL133" s="113"/>
      <c r="AN133" s="133"/>
      <c r="AO133" s="112"/>
      <c r="AP133" s="133"/>
      <c r="AQ133" s="112"/>
      <c r="AR133" s="133"/>
    </row>
    <row r="134" spans="1:44" s="136" customFormat="1" x14ac:dyDescent="0.2">
      <c r="A134" s="147" t="s">
        <v>107</v>
      </c>
      <c r="B134" s="694">
        <f>B133</f>
        <v>0</v>
      </c>
      <c r="C134" s="13">
        <f t="shared" ref="C134:AG134" si="659">C133+B134</f>
        <v>0</v>
      </c>
      <c r="D134" s="13">
        <f t="shared" si="659"/>
        <v>9868.5</v>
      </c>
      <c r="E134" s="13">
        <f t="shared" si="659"/>
        <v>19737</v>
      </c>
      <c r="F134" s="13">
        <f t="shared" si="659"/>
        <v>29605.5</v>
      </c>
      <c r="G134" s="13">
        <f t="shared" si="659"/>
        <v>39474</v>
      </c>
      <c r="H134" s="13">
        <f t="shared" si="659"/>
        <v>49342.5</v>
      </c>
      <c r="I134" s="13">
        <f t="shared" si="659"/>
        <v>59211</v>
      </c>
      <c r="J134" s="13">
        <f t="shared" si="659"/>
        <v>69079.5</v>
      </c>
      <c r="K134" s="13">
        <f t="shared" si="659"/>
        <v>78948</v>
      </c>
      <c r="L134" s="13">
        <f t="shared" si="659"/>
        <v>88816.5</v>
      </c>
      <c r="M134" s="13">
        <f t="shared" si="659"/>
        <v>98685</v>
      </c>
      <c r="N134" s="13">
        <f t="shared" si="659"/>
        <v>98685</v>
      </c>
      <c r="O134" s="13">
        <f t="shared" si="659"/>
        <v>98685</v>
      </c>
      <c r="P134" s="13">
        <f t="shared" si="659"/>
        <v>98685</v>
      </c>
      <c r="Q134" s="13">
        <f t="shared" si="659"/>
        <v>98685</v>
      </c>
      <c r="R134" s="13">
        <f t="shared" si="659"/>
        <v>98685</v>
      </c>
      <c r="S134" s="13">
        <f t="shared" si="659"/>
        <v>98685</v>
      </c>
      <c r="T134" s="13">
        <f t="shared" si="659"/>
        <v>98685</v>
      </c>
      <c r="U134" s="13">
        <f t="shared" si="659"/>
        <v>98685</v>
      </c>
      <c r="V134" s="13">
        <f t="shared" si="659"/>
        <v>98685</v>
      </c>
      <c r="W134" s="13">
        <f t="shared" si="659"/>
        <v>98685</v>
      </c>
      <c r="X134" s="13">
        <f t="shared" si="659"/>
        <v>98685</v>
      </c>
      <c r="Y134" s="13">
        <f t="shared" si="659"/>
        <v>98685</v>
      </c>
      <c r="Z134" s="13">
        <f t="shared" si="659"/>
        <v>98685</v>
      </c>
      <c r="AA134" s="13">
        <f t="shared" si="659"/>
        <v>98685</v>
      </c>
      <c r="AB134" s="13">
        <f t="shared" si="659"/>
        <v>98685</v>
      </c>
      <c r="AC134" s="13">
        <f t="shared" si="659"/>
        <v>98685</v>
      </c>
      <c r="AD134" s="13">
        <f t="shared" si="659"/>
        <v>98685</v>
      </c>
      <c r="AE134" s="13">
        <f t="shared" si="659"/>
        <v>98685</v>
      </c>
      <c r="AF134" s="13">
        <f t="shared" si="659"/>
        <v>98685</v>
      </c>
      <c r="AG134" s="13">
        <f t="shared" si="659"/>
        <v>98685</v>
      </c>
      <c r="AH134" s="13">
        <f>AH133+AG134</f>
        <v>98685</v>
      </c>
      <c r="AI134" s="13">
        <f>AI133+AH134</f>
        <v>98685</v>
      </c>
      <c r="AL134" s="113"/>
      <c r="AN134" s="133"/>
      <c r="AO134" s="112"/>
      <c r="AP134" s="133"/>
      <c r="AQ134" s="112"/>
      <c r="AR134" s="133"/>
    </row>
    <row r="135" spans="1:44" s="136" customFormat="1" x14ac:dyDescent="0.2">
      <c r="A135" s="147" t="s">
        <v>108</v>
      </c>
      <c r="B135" s="694">
        <f>ROUND(IF(B131-B134&gt;0,B131-B134,0),4)</f>
        <v>0</v>
      </c>
      <c r="C135" s="13">
        <f>ROUND(IF(C131-C134&gt;0,C131-C134,0),4)</f>
        <v>98685</v>
      </c>
      <c r="D135" s="13">
        <f>ROUND(IF(D131-D134&gt;0,D131-D134,0),4)</f>
        <v>88816.5</v>
      </c>
      <c r="E135" s="13">
        <f t="shared" ref="E135:AH135" si="660">ROUND(IF(E131-E134&gt;0,E131-E134,0),4)</f>
        <v>78948</v>
      </c>
      <c r="F135" s="13">
        <f t="shared" si="660"/>
        <v>69079.5</v>
      </c>
      <c r="G135" s="13">
        <f t="shared" si="660"/>
        <v>59211</v>
      </c>
      <c r="H135" s="13">
        <f t="shared" si="660"/>
        <v>49342.5</v>
      </c>
      <c r="I135" s="13">
        <f t="shared" si="660"/>
        <v>39474</v>
      </c>
      <c r="J135" s="13">
        <f t="shared" si="660"/>
        <v>29605.5</v>
      </c>
      <c r="K135" s="13">
        <f t="shared" si="660"/>
        <v>19737</v>
      </c>
      <c r="L135" s="13">
        <f t="shared" si="660"/>
        <v>9868.5</v>
      </c>
      <c r="M135" s="13">
        <f t="shared" si="660"/>
        <v>0</v>
      </c>
      <c r="N135" s="13">
        <f t="shared" si="660"/>
        <v>0</v>
      </c>
      <c r="O135" s="13">
        <f t="shared" si="660"/>
        <v>0</v>
      </c>
      <c r="P135" s="13">
        <f t="shared" si="660"/>
        <v>0</v>
      </c>
      <c r="Q135" s="13">
        <f t="shared" si="660"/>
        <v>0</v>
      </c>
      <c r="R135" s="13">
        <f t="shared" si="660"/>
        <v>0</v>
      </c>
      <c r="S135" s="13">
        <f t="shared" si="660"/>
        <v>0</v>
      </c>
      <c r="T135" s="13">
        <f t="shared" si="660"/>
        <v>0</v>
      </c>
      <c r="U135" s="13">
        <f t="shared" si="660"/>
        <v>0</v>
      </c>
      <c r="V135" s="13">
        <f t="shared" si="660"/>
        <v>0</v>
      </c>
      <c r="W135" s="13">
        <f t="shared" si="660"/>
        <v>0</v>
      </c>
      <c r="X135" s="13">
        <f t="shared" si="660"/>
        <v>0</v>
      </c>
      <c r="Y135" s="13">
        <f t="shared" si="660"/>
        <v>0</v>
      </c>
      <c r="Z135" s="13">
        <f t="shared" si="660"/>
        <v>0</v>
      </c>
      <c r="AA135" s="13">
        <f t="shared" si="660"/>
        <v>0</v>
      </c>
      <c r="AB135" s="13">
        <f t="shared" si="660"/>
        <v>0</v>
      </c>
      <c r="AC135" s="13">
        <f t="shared" si="660"/>
        <v>0</v>
      </c>
      <c r="AD135" s="13">
        <f t="shared" si="660"/>
        <v>0</v>
      </c>
      <c r="AE135" s="13">
        <f t="shared" si="660"/>
        <v>0</v>
      </c>
      <c r="AF135" s="13">
        <f t="shared" si="660"/>
        <v>0</v>
      </c>
      <c r="AG135" s="13">
        <f t="shared" si="660"/>
        <v>0</v>
      </c>
      <c r="AH135" s="13">
        <f t="shared" si="660"/>
        <v>0</v>
      </c>
      <c r="AI135" s="13">
        <f>ROUND(IF(AI131-AI134&gt;0,AI131-AI134,0),4)</f>
        <v>0</v>
      </c>
      <c r="AL135" s="113"/>
      <c r="AN135" s="133"/>
      <c r="AO135" s="112"/>
      <c r="AP135" s="133"/>
      <c r="AQ135" s="112"/>
      <c r="AR135" s="133"/>
    </row>
    <row r="136" spans="1:44" s="136" customFormat="1" x14ac:dyDescent="0.2">
      <c r="A136" s="148"/>
      <c r="B136" s="704"/>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L136" s="113"/>
      <c r="AN136" s="133"/>
      <c r="AO136" s="112"/>
      <c r="AP136" s="133"/>
      <c r="AQ136" s="112"/>
      <c r="AR136" s="133"/>
    </row>
    <row r="137" spans="1:44" s="154" customFormat="1" x14ac:dyDescent="0.2">
      <c r="A137" s="153" t="s">
        <v>398</v>
      </c>
      <c r="B137" s="705"/>
      <c r="C137" s="705"/>
      <c r="D137" s="705"/>
      <c r="E137" s="705"/>
      <c r="F137" s="705"/>
      <c r="G137" s="705"/>
      <c r="H137" s="705"/>
      <c r="I137" s="705"/>
      <c r="J137" s="705"/>
      <c r="K137" s="705"/>
      <c r="L137" s="705"/>
      <c r="M137" s="705"/>
      <c r="N137" s="705"/>
      <c r="O137" s="705"/>
      <c r="P137" s="705"/>
      <c r="Q137" s="705"/>
      <c r="R137" s="705"/>
      <c r="S137" s="705"/>
      <c r="T137" s="705"/>
      <c r="U137" s="705"/>
      <c r="V137" s="705"/>
      <c r="W137" s="705"/>
      <c r="X137" s="705"/>
      <c r="Y137" s="705"/>
      <c r="Z137" s="705"/>
      <c r="AA137" s="705"/>
      <c r="AB137" s="705"/>
      <c r="AC137" s="705"/>
      <c r="AD137" s="705"/>
      <c r="AE137" s="705"/>
      <c r="AF137" s="705"/>
      <c r="AG137" s="705"/>
      <c r="AH137" s="705"/>
      <c r="AI137" s="705"/>
      <c r="AL137" s="155"/>
      <c r="AN137" s="156"/>
      <c r="AO137" s="157"/>
      <c r="AP137" s="156"/>
      <c r="AQ137" s="157"/>
      <c r="AR137" s="156"/>
    </row>
    <row r="138" spans="1:44" s="154" customFormat="1" ht="11.25" outlineLevel="1" x14ac:dyDescent="0.2">
      <c r="A138" s="158" t="s">
        <v>388</v>
      </c>
      <c r="B138" s="705"/>
      <c r="C138" s="705"/>
      <c r="D138" s="705"/>
      <c r="E138" s="705"/>
      <c r="F138" s="705"/>
      <c r="G138" s="705"/>
      <c r="H138" s="705"/>
      <c r="I138" s="705"/>
      <c r="J138" s="705"/>
      <c r="K138" s="705"/>
      <c r="L138" s="705"/>
      <c r="M138" s="705"/>
      <c r="N138" s="705"/>
      <c r="O138" s="705"/>
      <c r="P138" s="705"/>
      <c r="Q138" s="705"/>
      <c r="R138" s="705"/>
      <c r="S138" s="705"/>
      <c r="T138" s="705"/>
      <c r="U138" s="705"/>
      <c r="V138" s="705"/>
      <c r="W138" s="705"/>
      <c r="X138" s="705"/>
      <c r="Y138" s="705"/>
      <c r="Z138" s="705"/>
      <c r="AA138" s="705"/>
      <c r="AB138" s="705"/>
      <c r="AC138" s="705"/>
      <c r="AD138" s="705"/>
      <c r="AE138" s="705"/>
      <c r="AF138" s="705"/>
      <c r="AG138" s="705"/>
      <c r="AH138" s="705"/>
      <c r="AI138" s="705"/>
      <c r="AL138" s="155"/>
      <c r="AN138" s="156"/>
      <c r="AO138" s="157"/>
      <c r="AP138" s="156"/>
      <c r="AQ138" s="157"/>
      <c r="AR138" s="156"/>
    </row>
    <row r="139" spans="1:44" s="154" customFormat="1" ht="11.25" outlineLevel="1" x14ac:dyDescent="0.2">
      <c r="A139" s="159" t="s">
        <v>8</v>
      </c>
      <c r="B139" s="706">
        <f>'gadu šķirošana'!C17</f>
        <v>0</v>
      </c>
      <c r="C139" s="706">
        <f>'gadu šķirošana'!D17</f>
        <v>30600</v>
      </c>
      <c r="D139" s="706">
        <f>'gadu šķirošana'!E17</f>
        <v>0</v>
      </c>
      <c r="E139" s="706">
        <f>'gadu šķirošana'!F17</f>
        <v>0</v>
      </c>
      <c r="F139" s="706">
        <f>'gadu šķirošana'!G17</f>
        <v>0</v>
      </c>
      <c r="G139" s="706">
        <f>'gadu šķirošana'!H17</f>
        <v>0</v>
      </c>
      <c r="H139" s="706">
        <f>'gadu šķirošana'!I17</f>
        <v>0</v>
      </c>
      <c r="I139" s="706">
        <f>'gadu šķirošana'!J17</f>
        <v>0</v>
      </c>
      <c r="J139" s="706">
        <f>'gadu šķirošana'!K17</f>
        <v>0</v>
      </c>
      <c r="K139" s="706">
        <f>'gadu šķirošana'!L17</f>
        <v>0</v>
      </c>
      <c r="L139" s="706">
        <f>'gadu šķirošana'!M17</f>
        <v>0</v>
      </c>
      <c r="M139" s="706">
        <f>'gadu šķirošana'!N17</f>
        <v>0</v>
      </c>
      <c r="N139" s="706">
        <f>'gadu šķirošana'!O17</f>
        <v>0</v>
      </c>
      <c r="O139" s="706">
        <f>'gadu šķirošana'!P17</f>
        <v>0</v>
      </c>
      <c r="P139" s="706">
        <f>'gadu šķirošana'!Q17</f>
        <v>0</v>
      </c>
      <c r="Q139" s="706">
        <f>'gadu šķirošana'!R17</f>
        <v>0</v>
      </c>
      <c r="R139" s="706">
        <f>'gadu šķirošana'!S17</f>
        <v>0</v>
      </c>
      <c r="S139" s="706">
        <f>'gadu šķirošana'!T17</f>
        <v>0</v>
      </c>
      <c r="T139" s="706">
        <f>'gadu šķirošana'!U17</f>
        <v>0</v>
      </c>
      <c r="U139" s="706">
        <f>'gadu šķirošana'!V17</f>
        <v>0</v>
      </c>
      <c r="V139" s="706">
        <f>'gadu šķirošana'!W17</f>
        <v>0</v>
      </c>
      <c r="W139" s="706">
        <f>'gadu šķirošana'!X17</f>
        <v>0</v>
      </c>
      <c r="X139" s="706">
        <f>'gadu šķirošana'!Y17</f>
        <v>0</v>
      </c>
      <c r="Y139" s="706">
        <f>'gadu šķirošana'!Z17</f>
        <v>0</v>
      </c>
      <c r="Z139" s="706">
        <f>'gadu šķirošana'!AA17</f>
        <v>0</v>
      </c>
      <c r="AA139" s="706">
        <f>'gadu šķirošana'!AB17</f>
        <v>0</v>
      </c>
      <c r="AB139" s="706">
        <f>'gadu šķirošana'!AC17</f>
        <v>0</v>
      </c>
      <c r="AC139" s="706">
        <f>'gadu šķirošana'!AD17</f>
        <v>0</v>
      </c>
      <c r="AD139" s="706">
        <f>'gadu šķirošana'!AE17</f>
        <v>0</v>
      </c>
      <c r="AE139" s="706">
        <f>'gadu šķirošana'!AF17</f>
        <v>0</v>
      </c>
      <c r="AF139" s="706">
        <f>'gadu šķirošana'!AG17</f>
        <v>0</v>
      </c>
      <c r="AG139" s="706">
        <f>'gadu šķirošana'!AH17</f>
        <v>0</v>
      </c>
      <c r="AH139" s="706">
        <f>'gadu šķirošana'!AI17</f>
        <v>0</v>
      </c>
      <c r="AI139" s="706">
        <f>'gadu šķirošana'!AJ17</f>
        <v>0</v>
      </c>
      <c r="AL139" s="155"/>
      <c r="AN139" s="156"/>
      <c r="AO139" s="157"/>
      <c r="AP139" s="156"/>
      <c r="AQ139" s="157"/>
      <c r="AR139" s="156"/>
    </row>
    <row r="140" spans="1:44" s="154" customFormat="1" ht="11.25" outlineLevel="1" x14ac:dyDescent="0.2">
      <c r="A140" s="159" t="s">
        <v>389</v>
      </c>
      <c r="B140" s="706">
        <f>'gadu šķirošana'!C18</f>
        <v>0</v>
      </c>
      <c r="C140" s="706">
        <f>'gadu šķirošana'!D18</f>
        <v>30600</v>
      </c>
      <c r="D140" s="706">
        <f>'gadu šķirošana'!E18</f>
        <v>0</v>
      </c>
      <c r="E140" s="706">
        <f>'gadu šķirošana'!F18</f>
        <v>0</v>
      </c>
      <c r="F140" s="706">
        <f>'gadu šķirošana'!G18</f>
        <v>0</v>
      </c>
      <c r="G140" s="706">
        <f>'gadu šķirošana'!H18</f>
        <v>0</v>
      </c>
      <c r="H140" s="706">
        <f>'gadu šķirošana'!I18</f>
        <v>0</v>
      </c>
      <c r="I140" s="706">
        <f>'gadu šķirošana'!J18</f>
        <v>0</v>
      </c>
      <c r="J140" s="706">
        <f>'gadu šķirošana'!K18</f>
        <v>0</v>
      </c>
      <c r="K140" s="706">
        <f>'gadu šķirošana'!L18</f>
        <v>0</v>
      </c>
      <c r="L140" s="706">
        <f>'gadu šķirošana'!M18</f>
        <v>0</v>
      </c>
      <c r="M140" s="706">
        <f>'gadu šķirošana'!N18</f>
        <v>0</v>
      </c>
      <c r="N140" s="706">
        <f>'gadu šķirošana'!O18</f>
        <v>0</v>
      </c>
      <c r="O140" s="706">
        <f>'gadu šķirošana'!P18</f>
        <v>0</v>
      </c>
      <c r="P140" s="706">
        <f>'gadu šķirošana'!Q18</f>
        <v>0</v>
      </c>
      <c r="Q140" s="706">
        <f>'gadu šķirošana'!R18</f>
        <v>0</v>
      </c>
      <c r="R140" s="706">
        <f>'gadu šķirošana'!S18</f>
        <v>0</v>
      </c>
      <c r="S140" s="706">
        <f>'gadu šķirošana'!T18</f>
        <v>0</v>
      </c>
      <c r="T140" s="706">
        <f>'gadu šķirošana'!U18</f>
        <v>0</v>
      </c>
      <c r="U140" s="706">
        <f>'gadu šķirošana'!V18</f>
        <v>0</v>
      </c>
      <c r="V140" s="706">
        <f>'gadu šķirošana'!W18</f>
        <v>0</v>
      </c>
      <c r="W140" s="706">
        <f>'gadu šķirošana'!X18</f>
        <v>0</v>
      </c>
      <c r="X140" s="706">
        <f>'gadu šķirošana'!Y18</f>
        <v>0</v>
      </c>
      <c r="Y140" s="706">
        <f>'gadu šķirošana'!Z18</f>
        <v>0</v>
      </c>
      <c r="Z140" s="706">
        <f>'gadu šķirošana'!AA18</f>
        <v>0</v>
      </c>
      <c r="AA140" s="706">
        <f>'gadu šķirošana'!AB18</f>
        <v>0</v>
      </c>
      <c r="AB140" s="706">
        <f>'gadu šķirošana'!AC18</f>
        <v>0</v>
      </c>
      <c r="AC140" s="706">
        <f>'gadu šķirošana'!AD18</f>
        <v>0</v>
      </c>
      <c r="AD140" s="706">
        <f>'gadu šķirošana'!AE18</f>
        <v>0</v>
      </c>
      <c r="AE140" s="706">
        <f>'gadu šķirošana'!AF18</f>
        <v>0</v>
      </c>
      <c r="AF140" s="706">
        <f>'gadu šķirošana'!AG18</f>
        <v>0</v>
      </c>
      <c r="AG140" s="706">
        <f>'gadu šķirošana'!AH18</f>
        <v>0</v>
      </c>
      <c r="AH140" s="706">
        <f>'gadu šķirošana'!AI18</f>
        <v>0</v>
      </c>
      <c r="AI140" s="706">
        <f>'gadu šķirošana'!AJ18</f>
        <v>0</v>
      </c>
      <c r="AL140" s="155"/>
      <c r="AN140" s="156"/>
      <c r="AO140" s="157"/>
      <c r="AP140" s="156"/>
      <c r="AQ140" s="157"/>
      <c r="AR140" s="156"/>
    </row>
    <row r="141" spans="1:44" s="154" customFormat="1" ht="11.25" outlineLevel="1" x14ac:dyDescent="0.2">
      <c r="A141" s="159" t="s">
        <v>10</v>
      </c>
      <c r="B141" s="706">
        <f>SUM('gadu šķirošana'!C19:C21)</f>
        <v>0</v>
      </c>
      <c r="C141" s="706">
        <f>SUM('gadu šķirošana'!D19:D21)</f>
        <v>30600</v>
      </c>
      <c r="D141" s="706">
        <f>SUM('gadu šķirošana'!E19:E21)</f>
        <v>0</v>
      </c>
      <c r="E141" s="706">
        <f>SUM('gadu šķirošana'!F19:F21)</f>
        <v>0</v>
      </c>
      <c r="F141" s="706">
        <f>SUM('gadu šķirošana'!G19:G21)</f>
        <v>0</v>
      </c>
      <c r="G141" s="706">
        <f>SUM('gadu šķirošana'!H19:H21)</f>
        <v>0</v>
      </c>
      <c r="H141" s="706">
        <f>SUM('gadu šķirošana'!I19:I21)</f>
        <v>0</v>
      </c>
      <c r="I141" s="706">
        <f>SUM('gadu šķirošana'!J19:J21)</f>
        <v>0</v>
      </c>
      <c r="J141" s="706">
        <f>SUM('gadu šķirošana'!K19:K21)</f>
        <v>0</v>
      </c>
      <c r="K141" s="706">
        <f>SUM('gadu šķirošana'!L19:L21)</f>
        <v>0</v>
      </c>
      <c r="L141" s="706">
        <f>SUM('gadu šķirošana'!M19:M21)</f>
        <v>0</v>
      </c>
      <c r="M141" s="706">
        <f>SUM('gadu šķirošana'!N19:N21)</f>
        <v>0</v>
      </c>
      <c r="N141" s="706">
        <f>SUM('gadu šķirošana'!O19:O21)</f>
        <v>0</v>
      </c>
      <c r="O141" s="706">
        <f>SUM('gadu šķirošana'!P19:P21)</f>
        <v>0</v>
      </c>
      <c r="P141" s="706">
        <f>SUM('gadu šķirošana'!Q19:Q21)</f>
        <v>0</v>
      </c>
      <c r="Q141" s="706">
        <f>SUM('gadu šķirošana'!R19:R21)</f>
        <v>0</v>
      </c>
      <c r="R141" s="706">
        <f>SUM('gadu šķirošana'!S19:S21)</f>
        <v>0</v>
      </c>
      <c r="S141" s="706">
        <f>SUM('gadu šķirošana'!T19:T21)</f>
        <v>0</v>
      </c>
      <c r="T141" s="706">
        <f>SUM('gadu šķirošana'!U19:U21)</f>
        <v>0</v>
      </c>
      <c r="U141" s="706">
        <f>SUM('gadu šķirošana'!V19:V21)</f>
        <v>0</v>
      </c>
      <c r="V141" s="706">
        <f>SUM('gadu šķirošana'!W19:W21)</f>
        <v>0</v>
      </c>
      <c r="W141" s="706">
        <f>SUM('gadu šķirošana'!X19:X21)</f>
        <v>0</v>
      </c>
      <c r="X141" s="706">
        <f>SUM('gadu šķirošana'!Y19:Y21)</f>
        <v>0</v>
      </c>
      <c r="Y141" s="706">
        <f>SUM('gadu šķirošana'!Z19:Z21)</f>
        <v>0</v>
      </c>
      <c r="Z141" s="706">
        <f>SUM('gadu šķirošana'!AA19:AA21)</f>
        <v>0</v>
      </c>
      <c r="AA141" s="706">
        <f>SUM('gadu šķirošana'!AB19:AB21)</f>
        <v>0</v>
      </c>
      <c r="AB141" s="706">
        <f>SUM('gadu šķirošana'!AC19:AC21)</f>
        <v>0</v>
      </c>
      <c r="AC141" s="706">
        <f>SUM('gadu šķirošana'!AD19:AD21)</f>
        <v>0</v>
      </c>
      <c r="AD141" s="706">
        <f>SUM('gadu šķirošana'!AE19:AE21)</f>
        <v>0</v>
      </c>
      <c r="AE141" s="706">
        <f>SUM('gadu šķirošana'!AF19:AF21)</f>
        <v>0</v>
      </c>
      <c r="AF141" s="706">
        <f>SUM('gadu šķirošana'!AG19:AG21)</f>
        <v>0</v>
      </c>
      <c r="AG141" s="706">
        <f>SUM('gadu šķirošana'!AH19:AH21)</f>
        <v>0</v>
      </c>
      <c r="AH141" s="706">
        <f>SUM('gadu šķirošana'!AI19:AI21)</f>
        <v>0</v>
      </c>
      <c r="AI141" s="706">
        <f>SUM('gadu šķirošana'!AJ19:AJ21)</f>
        <v>0</v>
      </c>
      <c r="AL141" s="155"/>
      <c r="AN141" s="156"/>
      <c r="AO141" s="157"/>
      <c r="AP141" s="156"/>
      <c r="AQ141" s="157"/>
      <c r="AR141" s="156"/>
    </row>
    <row r="142" spans="1:44" s="154" customFormat="1" ht="11.25" outlineLevel="1" x14ac:dyDescent="0.2">
      <c r="A142" s="160" t="s">
        <v>44</v>
      </c>
      <c r="B142" s="706">
        <f>SUM(B139:B141)</f>
        <v>0</v>
      </c>
      <c r="C142" s="706">
        <f t="shared" ref="C142:I142" si="661">SUM(C139:C141)</f>
        <v>91800</v>
      </c>
      <c r="D142" s="706">
        <f t="shared" si="661"/>
        <v>0</v>
      </c>
      <c r="E142" s="706">
        <f t="shared" si="661"/>
        <v>0</v>
      </c>
      <c r="F142" s="706">
        <f t="shared" si="661"/>
        <v>0</v>
      </c>
      <c r="G142" s="706">
        <f t="shared" si="661"/>
        <v>0</v>
      </c>
      <c r="H142" s="706">
        <f t="shared" si="661"/>
        <v>0</v>
      </c>
      <c r="I142" s="706">
        <f t="shared" si="661"/>
        <v>0</v>
      </c>
      <c r="J142" s="706">
        <f t="shared" ref="J142" si="662">SUM(J139:J141)</f>
        <v>0</v>
      </c>
      <c r="K142" s="706">
        <f t="shared" ref="K142" si="663">SUM(K139:K141)</f>
        <v>0</v>
      </c>
      <c r="L142" s="706">
        <f t="shared" ref="L142" si="664">SUM(L139:L141)</f>
        <v>0</v>
      </c>
      <c r="M142" s="706">
        <f t="shared" ref="M142" si="665">SUM(M139:M141)</f>
        <v>0</v>
      </c>
      <c r="N142" s="706">
        <f t="shared" ref="N142" si="666">SUM(N139:N141)</f>
        <v>0</v>
      </c>
      <c r="O142" s="706">
        <f t="shared" ref="O142:P142" si="667">SUM(O139:O141)</f>
        <v>0</v>
      </c>
      <c r="P142" s="706">
        <f t="shared" si="667"/>
        <v>0</v>
      </c>
      <c r="Q142" s="706">
        <f t="shared" ref="Q142" si="668">SUM(Q139:Q141)</f>
        <v>0</v>
      </c>
      <c r="R142" s="706">
        <f t="shared" ref="R142" si="669">SUM(R139:R141)</f>
        <v>0</v>
      </c>
      <c r="S142" s="706">
        <f t="shared" ref="S142" si="670">SUM(S139:S141)</f>
        <v>0</v>
      </c>
      <c r="T142" s="706">
        <f t="shared" ref="T142" si="671">SUM(T139:T141)</f>
        <v>0</v>
      </c>
      <c r="U142" s="706">
        <f t="shared" ref="U142" si="672">SUM(U139:U141)</f>
        <v>0</v>
      </c>
      <c r="V142" s="706">
        <f t="shared" ref="V142:W142" si="673">SUM(V139:V141)</f>
        <v>0</v>
      </c>
      <c r="W142" s="706">
        <f t="shared" si="673"/>
        <v>0</v>
      </c>
      <c r="X142" s="706">
        <f t="shared" ref="X142" si="674">SUM(X139:X141)</f>
        <v>0</v>
      </c>
      <c r="Y142" s="706">
        <f t="shared" ref="Y142" si="675">SUM(Y139:Y141)</f>
        <v>0</v>
      </c>
      <c r="Z142" s="706">
        <f t="shared" ref="Z142" si="676">SUM(Z139:Z141)</f>
        <v>0</v>
      </c>
      <c r="AA142" s="706">
        <f t="shared" ref="AA142" si="677">SUM(AA139:AA141)</f>
        <v>0</v>
      </c>
      <c r="AB142" s="706">
        <f t="shared" ref="AB142" si="678">SUM(AB139:AB141)</f>
        <v>0</v>
      </c>
      <c r="AC142" s="706">
        <f t="shared" ref="AC142:AD142" si="679">SUM(AC139:AC141)</f>
        <v>0</v>
      </c>
      <c r="AD142" s="706">
        <f t="shared" si="679"/>
        <v>0</v>
      </c>
      <c r="AE142" s="706">
        <f t="shared" ref="AE142" si="680">SUM(AE139:AE141)</f>
        <v>0</v>
      </c>
      <c r="AF142" s="706">
        <f t="shared" ref="AF142" si="681">SUM(AF139:AF141)</f>
        <v>0</v>
      </c>
      <c r="AG142" s="706">
        <f t="shared" ref="AG142" si="682">SUM(AG139:AG141)</f>
        <v>0</v>
      </c>
      <c r="AH142" s="706">
        <f t="shared" ref="AH142" si="683">SUM(AH139:AH141)</f>
        <v>0</v>
      </c>
      <c r="AI142" s="706">
        <f t="shared" ref="AI142" si="684">SUM(AI139:AI141)</f>
        <v>0</v>
      </c>
      <c r="AL142" s="155"/>
      <c r="AN142" s="156"/>
      <c r="AO142" s="157"/>
      <c r="AP142" s="156"/>
      <c r="AQ142" s="157"/>
      <c r="AR142" s="156"/>
    </row>
    <row r="143" spans="1:44" s="154" customFormat="1" ht="11.25" outlineLevel="1" x14ac:dyDescent="0.2">
      <c r="A143" s="158" t="s">
        <v>390</v>
      </c>
      <c r="B143" s="706"/>
      <c r="C143" s="706"/>
      <c r="D143" s="706"/>
      <c r="E143" s="706"/>
      <c r="F143" s="706"/>
      <c r="G143" s="706"/>
      <c r="H143" s="706"/>
      <c r="I143" s="706"/>
      <c r="J143" s="706"/>
      <c r="K143" s="706"/>
      <c r="L143" s="706"/>
      <c r="M143" s="706"/>
      <c r="N143" s="706"/>
      <c r="O143" s="706"/>
      <c r="P143" s="706"/>
      <c r="Q143" s="706"/>
      <c r="R143" s="706"/>
      <c r="S143" s="706"/>
      <c r="T143" s="706"/>
      <c r="U143" s="706"/>
      <c r="V143" s="706"/>
      <c r="W143" s="706"/>
      <c r="X143" s="706"/>
      <c r="Y143" s="706"/>
      <c r="Z143" s="706"/>
      <c r="AA143" s="706"/>
      <c r="AB143" s="706"/>
      <c r="AC143" s="706"/>
      <c r="AD143" s="706"/>
      <c r="AE143" s="706"/>
      <c r="AF143" s="706"/>
      <c r="AG143" s="706"/>
      <c r="AH143" s="706"/>
      <c r="AI143" s="706"/>
      <c r="AL143" s="155"/>
      <c r="AN143" s="156"/>
      <c r="AO143" s="157"/>
      <c r="AP143" s="156"/>
      <c r="AQ143" s="157"/>
      <c r="AR143" s="156"/>
    </row>
    <row r="144" spans="1:44" s="154" customFormat="1" ht="11.25" outlineLevel="1" x14ac:dyDescent="0.2">
      <c r="A144" s="159" t="str">
        <f>A139</f>
        <v>Ēkas un būves</v>
      </c>
      <c r="B144" s="706">
        <f>'gadu šķirošana'!C24</f>
        <v>0</v>
      </c>
      <c r="C144" s="706">
        <f>'gadu šķirošana'!D24</f>
        <v>56100</v>
      </c>
      <c r="D144" s="706">
        <f>'gadu šķirošana'!E24</f>
        <v>36400</v>
      </c>
      <c r="E144" s="706">
        <f>'gadu šķirošana'!F24</f>
        <v>0</v>
      </c>
      <c r="F144" s="706">
        <f>'gadu šķirošana'!G24</f>
        <v>0</v>
      </c>
      <c r="G144" s="706">
        <f>'gadu šķirošana'!H24</f>
        <v>0</v>
      </c>
      <c r="H144" s="706">
        <f>'gadu šķirošana'!I24</f>
        <v>0</v>
      </c>
      <c r="I144" s="706">
        <f>'gadu šķirošana'!J24</f>
        <v>0</v>
      </c>
      <c r="J144" s="706">
        <f>'gadu šķirošana'!K24</f>
        <v>0</v>
      </c>
      <c r="K144" s="706">
        <f>'gadu šķirošana'!L24</f>
        <v>0</v>
      </c>
      <c r="L144" s="706">
        <f>'gadu šķirošana'!M24</f>
        <v>0</v>
      </c>
      <c r="M144" s="706">
        <f>'gadu šķirošana'!N24</f>
        <v>0</v>
      </c>
      <c r="N144" s="706">
        <f>'gadu šķirošana'!O24</f>
        <v>0</v>
      </c>
      <c r="O144" s="706">
        <f>'gadu šķirošana'!P24</f>
        <v>0</v>
      </c>
      <c r="P144" s="706">
        <f>'gadu šķirošana'!Q24</f>
        <v>0</v>
      </c>
      <c r="Q144" s="706">
        <f>'gadu šķirošana'!R24</f>
        <v>0</v>
      </c>
      <c r="R144" s="706">
        <f>'gadu šķirošana'!S24</f>
        <v>0</v>
      </c>
      <c r="S144" s="706">
        <f>'gadu šķirošana'!T24</f>
        <v>0</v>
      </c>
      <c r="T144" s="706">
        <f>'gadu šķirošana'!U24</f>
        <v>0</v>
      </c>
      <c r="U144" s="706">
        <f>'gadu šķirošana'!V24</f>
        <v>0</v>
      </c>
      <c r="V144" s="706">
        <f>'gadu šķirošana'!W24</f>
        <v>0</v>
      </c>
      <c r="W144" s="706">
        <f>'gadu šķirošana'!X24</f>
        <v>0</v>
      </c>
      <c r="X144" s="706">
        <f>'gadu šķirošana'!Y24</f>
        <v>0</v>
      </c>
      <c r="Y144" s="706">
        <f>'gadu šķirošana'!Z24</f>
        <v>0</v>
      </c>
      <c r="Z144" s="706">
        <f>'gadu šķirošana'!AA24</f>
        <v>0</v>
      </c>
      <c r="AA144" s="706">
        <f>'gadu šķirošana'!AB24</f>
        <v>0</v>
      </c>
      <c r="AB144" s="706">
        <f>'gadu šķirošana'!AC24</f>
        <v>0</v>
      </c>
      <c r="AC144" s="706">
        <f>'gadu šķirošana'!AD24</f>
        <v>0</v>
      </c>
      <c r="AD144" s="706">
        <f>'gadu šķirošana'!AE24</f>
        <v>0</v>
      </c>
      <c r="AE144" s="706">
        <f>'gadu šķirošana'!AF24</f>
        <v>0</v>
      </c>
      <c r="AF144" s="706">
        <f>'gadu šķirošana'!AG24</f>
        <v>0</v>
      </c>
      <c r="AG144" s="706">
        <f>'gadu šķirošana'!AH24</f>
        <v>0</v>
      </c>
      <c r="AH144" s="706">
        <f>'gadu šķirošana'!AI24</f>
        <v>0</v>
      </c>
      <c r="AI144" s="706">
        <f>'gadu šķirošana'!AJ24</f>
        <v>0</v>
      </c>
      <c r="AL144" s="155"/>
      <c r="AN144" s="156"/>
      <c r="AO144" s="157"/>
      <c r="AP144" s="156"/>
      <c r="AQ144" s="157"/>
      <c r="AR144" s="156"/>
    </row>
    <row r="145" spans="1:44" s="154" customFormat="1" ht="11.25" outlineLevel="1" x14ac:dyDescent="0.2">
      <c r="A145" s="159" t="s">
        <v>389</v>
      </c>
      <c r="B145" s="706">
        <f>'gadu šķirošana'!C25</f>
        <v>0</v>
      </c>
      <c r="C145" s="706">
        <f>'gadu šķirošana'!D25</f>
        <v>30600</v>
      </c>
      <c r="D145" s="706">
        <f>'gadu šķirošana'!E25</f>
        <v>0</v>
      </c>
      <c r="E145" s="706">
        <f>'gadu šķirošana'!F25</f>
        <v>0</v>
      </c>
      <c r="F145" s="706">
        <f>'gadu šķirošana'!G25</f>
        <v>0</v>
      </c>
      <c r="G145" s="706">
        <f>'gadu šķirošana'!H25</f>
        <v>0</v>
      </c>
      <c r="H145" s="706">
        <f>'gadu šķirošana'!I25</f>
        <v>0</v>
      </c>
      <c r="I145" s="706">
        <f>'gadu šķirošana'!J25</f>
        <v>0</v>
      </c>
      <c r="J145" s="706">
        <f>'gadu šķirošana'!K25</f>
        <v>0</v>
      </c>
      <c r="K145" s="706">
        <f>'gadu šķirošana'!L25</f>
        <v>0</v>
      </c>
      <c r="L145" s="706">
        <f>'gadu šķirošana'!M25</f>
        <v>0</v>
      </c>
      <c r="M145" s="706">
        <f>'gadu šķirošana'!N25</f>
        <v>0</v>
      </c>
      <c r="N145" s="706">
        <f>'gadu šķirošana'!O25</f>
        <v>0</v>
      </c>
      <c r="O145" s="706">
        <f>'gadu šķirošana'!P25</f>
        <v>0</v>
      </c>
      <c r="P145" s="706">
        <f>'gadu šķirošana'!Q25</f>
        <v>0</v>
      </c>
      <c r="Q145" s="706">
        <f>'gadu šķirošana'!R25</f>
        <v>0</v>
      </c>
      <c r="R145" s="706">
        <f>'gadu šķirošana'!S25</f>
        <v>0</v>
      </c>
      <c r="S145" s="706">
        <f>'gadu šķirošana'!T25</f>
        <v>0</v>
      </c>
      <c r="T145" s="706">
        <f>'gadu šķirošana'!U25</f>
        <v>0</v>
      </c>
      <c r="U145" s="706">
        <f>'gadu šķirošana'!V25</f>
        <v>0</v>
      </c>
      <c r="V145" s="706">
        <f>'gadu šķirošana'!W25</f>
        <v>0</v>
      </c>
      <c r="W145" s="706">
        <f>'gadu šķirošana'!X25</f>
        <v>0</v>
      </c>
      <c r="X145" s="706">
        <f>'gadu šķirošana'!Y25</f>
        <v>0</v>
      </c>
      <c r="Y145" s="706">
        <f>'gadu šķirošana'!Z25</f>
        <v>0</v>
      </c>
      <c r="Z145" s="706">
        <f>'gadu šķirošana'!AA25</f>
        <v>0</v>
      </c>
      <c r="AA145" s="706">
        <f>'gadu šķirošana'!AB25</f>
        <v>0</v>
      </c>
      <c r="AB145" s="706">
        <f>'gadu šķirošana'!AC25</f>
        <v>0</v>
      </c>
      <c r="AC145" s="706">
        <f>'gadu šķirošana'!AD25</f>
        <v>0</v>
      </c>
      <c r="AD145" s="706">
        <f>'gadu šķirošana'!AE25</f>
        <v>0</v>
      </c>
      <c r="AE145" s="706">
        <f>'gadu šķirošana'!AF25</f>
        <v>0</v>
      </c>
      <c r="AF145" s="706">
        <f>'gadu šķirošana'!AG25</f>
        <v>0</v>
      </c>
      <c r="AG145" s="706">
        <f>'gadu šķirošana'!AH25</f>
        <v>0</v>
      </c>
      <c r="AH145" s="706">
        <f>'gadu šķirošana'!AI25</f>
        <v>0</v>
      </c>
      <c r="AI145" s="706">
        <f>'gadu šķirošana'!AJ25</f>
        <v>0</v>
      </c>
      <c r="AL145" s="155"/>
      <c r="AN145" s="156"/>
      <c r="AO145" s="157"/>
      <c r="AP145" s="156"/>
      <c r="AQ145" s="157"/>
      <c r="AR145" s="156"/>
    </row>
    <row r="146" spans="1:44" s="154" customFormat="1" ht="11.25" outlineLevel="1" x14ac:dyDescent="0.2">
      <c r="A146" s="159" t="str">
        <f>A141</f>
        <v>Nemateriālie ieguldījumi</v>
      </c>
      <c r="B146" s="706">
        <f>SUM('gadu šķirošana'!C26:C28)</f>
        <v>0</v>
      </c>
      <c r="C146" s="706">
        <f>SUM('gadu šķirošana'!D26:D28)</f>
        <v>68085</v>
      </c>
      <c r="D146" s="706">
        <f>SUM('gadu šķirošana'!E26:E28)</f>
        <v>0</v>
      </c>
      <c r="E146" s="706">
        <f>SUM('gadu šķirošana'!F26:F28)</f>
        <v>0</v>
      </c>
      <c r="F146" s="706">
        <f>SUM('gadu šķirošana'!G26:G28)</f>
        <v>0</v>
      </c>
      <c r="G146" s="706">
        <f>SUM('gadu šķirošana'!H26:H28)</f>
        <v>0</v>
      </c>
      <c r="H146" s="706">
        <f>SUM('gadu šķirošana'!I26:I28)</f>
        <v>0</v>
      </c>
      <c r="I146" s="706">
        <f>SUM('gadu šķirošana'!J26:J28)</f>
        <v>0</v>
      </c>
      <c r="J146" s="706">
        <f>SUM('gadu šķirošana'!K26:K28)</f>
        <v>0</v>
      </c>
      <c r="K146" s="706">
        <f>SUM('gadu šķirošana'!L26:L28)</f>
        <v>0</v>
      </c>
      <c r="L146" s="706">
        <f>SUM('gadu šķirošana'!M26:M28)</f>
        <v>0</v>
      </c>
      <c r="M146" s="706">
        <f>SUM('gadu šķirošana'!N26:N28)</f>
        <v>0</v>
      </c>
      <c r="N146" s="706">
        <f>SUM('gadu šķirošana'!O26:O28)</f>
        <v>0</v>
      </c>
      <c r="O146" s="706">
        <f>SUM('gadu šķirošana'!P26:P28)</f>
        <v>0</v>
      </c>
      <c r="P146" s="706">
        <f>SUM('gadu šķirošana'!Q26:Q28)</f>
        <v>0</v>
      </c>
      <c r="Q146" s="706">
        <f>SUM('gadu šķirošana'!R26:R28)</f>
        <v>0</v>
      </c>
      <c r="R146" s="706">
        <f>SUM('gadu šķirošana'!S26:S28)</f>
        <v>0</v>
      </c>
      <c r="S146" s="706">
        <f>SUM('gadu šķirošana'!T26:T28)</f>
        <v>0</v>
      </c>
      <c r="T146" s="706">
        <f>SUM('gadu šķirošana'!U26:U28)</f>
        <v>0</v>
      </c>
      <c r="U146" s="706">
        <f>SUM('gadu šķirošana'!V26:V28)</f>
        <v>0</v>
      </c>
      <c r="V146" s="706">
        <f>SUM('gadu šķirošana'!W26:W28)</f>
        <v>0</v>
      </c>
      <c r="W146" s="706">
        <f>SUM('gadu šķirošana'!X26:X28)</f>
        <v>0</v>
      </c>
      <c r="X146" s="706">
        <f>SUM('gadu šķirošana'!Y26:Y28)</f>
        <v>0</v>
      </c>
      <c r="Y146" s="706">
        <f>SUM('gadu šķirošana'!Z26:Z28)</f>
        <v>0</v>
      </c>
      <c r="Z146" s="706">
        <f>SUM('gadu šķirošana'!AA26:AA28)</f>
        <v>0</v>
      </c>
      <c r="AA146" s="706">
        <f>SUM('gadu šķirošana'!AB26:AB28)</f>
        <v>0</v>
      </c>
      <c r="AB146" s="706">
        <f>SUM('gadu šķirošana'!AC26:AC28)</f>
        <v>0</v>
      </c>
      <c r="AC146" s="706">
        <f>SUM('gadu šķirošana'!AD26:AD28)</f>
        <v>0</v>
      </c>
      <c r="AD146" s="706">
        <f>SUM('gadu šķirošana'!AE26:AE28)</f>
        <v>0</v>
      </c>
      <c r="AE146" s="706">
        <f>SUM('gadu šķirošana'!AF26:AF28)</f>
        <v>0</v>
      </c>
      <c r="AF146" s="706">
        <f>SUM('gadu šķirošana'!AG26:AG28)</f>
        <v>0</v>
      </c>
      <c r="AG146" s="706">
        <f>SUM('gadu šķirošana'!AH26:AH28)</f>
        <v>0</v>
      </c>
      <c r="AH146" s="706">
        <f>SUM('gadu šķirošana'!AI26:AI28)</f>
        <v>0</v>
      </c>
      <c r="AI146" s="706">
        <f>SUM('gadu šķirošana'!AJ26:AJ28)</f>
        <v>0</v>
      </c>
      <c r="AL146" s="155"/>
      <c r="AN146" s="156"/>
      <c r="AO146" s="157"/>
      <c r="AP146" s="156"/>
      <c r="AQ146" s="157"/>
      <c r="AR146" s="156"/>
    </row>
    <row r="147" spans="1:44" s="154" customFormat="1" ht="11.25" outlineLevel="1" x14ac:dyDescent="0.2">
      <c r="A147" s="158" t="s">
        <v>44</v>
      </c>
      <c r="B147" s="706">
        <f>SUM(B144:B146)</f>
        <v>0</v>
      </c>
      <c r="C147" s="706">
        <f t="shared" ref="C147:I147" si="685">SUM(C144:C146)</f>
        <v>154785</v>
      </c>
      <c r="D147" s="706">
        <f t="shared" si="685"/>
        <v>36400</v>
      </c>
      <c r="E147" s="706">
        <f t="shared" si="685"/>
        <v>0</v>
      </c>
      <c r="F147" s="706">
        <f t="shared" si="685"/>
        <v>0</v>
      </c>
      <c r="G147" s="706">
        <f t="shared" si="685"/>
        <v>0</v>
      </c>
      <c r="H147" s="706">
        <f t="shared" si="685"/>
        <v>0</v>
      </c>
      <c r="I147" s="706">
        <f t="shared" si="685"/>
        <v>0</v>
      </c>
      <c r="J147" s="706">
        <f t="shared" ref="J147" si="686">SUM(J144:J146)</f>
        <v>0</v>
      </c>
      <c r="K147" s="706">
        <f t="shared" ref="K147" si="687">SUM(K144:K146)</f>
        <v>0</v>
      </c>
      <c r="L147" s="706">
        <f t="shared" ref="L147" si="688">SUM(L144:L146)</f>
        <v>0</v>
      </c>
      <c r="M147" s="706">
        <f t="shared" ref="M147" si="689">SUM(M144:M146)</f>
        <v>0</v>
      </c>
      <c r="N147" s="706">
        <f t="shared" ref="N147" si="690">SUM(N144:N146)</f>
        <v>0</v>
      </c>
      <c r="O147" s="706">
        <f t="shared" ref="O147:P147" si="691">SUM(O144:O146)</f>
        <v>0</v>
      </c>
      <c r="P147" s="706">
        <f t="shared" si="691"/>
        <v>0</v>
      </c>
      <c r="Q147" s="706">
        <f t="shared" ref="Q147" si="692">SUM(Q144:Q146)</f>
        <v>0</v>
      </c>
      <c r="R147" s="706">
        <f t="shared" ref="R147" si="693">SUM(R144:R146)</f>
        <v>0</v>
      </c>
      <c r="S147" s="706">
        <f t="shared" ref="S147" si="694">SUM(S144:S146)</f>
        <v>0</v>
      </c>
      <c r="T147" s="706">
        <f t="shared" ref="T147" si="695">SUM(T144:T146)</f>
        <v>0</v>
      </c>
      <c r="U147" s="706">
        <f t="shared" ref="U147" si="696">SUM(U144:U146)</f>
        <v>0</v>
      </c>
      <c r="V147" s="706">
        <f t="shared" ref="V147:W147" si="697">SUM(V144:V146)</f>
        <v>0</v>
      </c>
      <c r="W147" s="706">
        <f t="shared" si="697"/>
        <v>0</v>
      </c>
      <c r="X147" s="706">
        <f t="shared" ref="X147" si="698">SUM(X144:X146)</f>
        <v>0</v>
      </c>
      <c r="Y147" s="706">
        <f t="shared" ref="Y147" si="699">SUM(Y144:Y146)</f>
        <v>0</v>
      </c>
      <c r="Z147" s="706">
        <f t="shared" ref="Z147" si="700">SUM(Z144:Z146)</f>
        <v>0</v>
      </c>
      <c r="AA147" s="706">
        <f t="shared" ref="AA147" si="701">SUM(AA144:AA146)</f>
        <v>0</v>
      </c>
      <c r="AB147" s="706">
        <f t="shared" ref="AB147" si="702">SUM(AB144:AB146)</f>
        <v>0</v>
      </c>
      <c r="AC147" s="706">
        <f t="shared" ref="AC147:AD147" si="703">SUM(AC144:AC146)</f>
        <v>0</v>
      </c>
      <c r="AD147" s="706">
        <f t="shared" si="703"/>
        <v>0</v>
      </c>
      <c r="AE147" s="706">
        <f t="shared" ref="AE147" si="704">SUM(AE144:AE146)</f>
        <v>0</v>
      </c>
      <c r="AF147" s="706">
        <f t="shared" ref="AF147" si="705">SUM(AF144:AF146)</f>
        <v>0</v>
      </c>
      <c r="AG147" s="706">
        <f t="shared" ref="AG147" si="706">SUM(AG144:AG146)</f>
        <v>0</v>
      </c>
      <c r="AH147" s="706">
        <f t="shared" ref="AH147" si="707">SUM(AH144:AH146)</f>
        <v>0</v>
      </c>
      <c r="AI147" s="706">
        <f t="shared" ref="AI147" si="708">SUM(AI144:AI146)</f>
        <v>0</v>
      </c>
      <c r="AL147" s="155"/>
      <c r="AN147" s="156"/>
      <c r="AO147" s="157"/>
      <c r="AP147" s="156"/>
      <c r="AQ147" s="157"/>
      <c r="AR147" s="156"/>
    </row>
    <row r="148" spans="1:44" s="154" customFormat="1" ht="11.25" outlineLevel="1" x14ac:dyDescent="0.2">
      <c r="A148" s="161" t="s">
        <v>393</v>
      </c>
      <c r="B148" s="706">
        <f>B142+B147</f>
        <v>0</v>
      </c>
      <c r="C148" s="706">
        <f t="shared" ref="C148:I148" si="709">C142+C147</f>
        <v>246585</v>
      </c>
      <c r="D148" s="706">
        <f t="shared" si="709"/>
        <v>36400</v>
      </c>
      <c r="E148" s="706">
        <f t="shared" si="709"/>
        <v>0</v>
      </c>
      <c r="F148" s="706">
        <f t="shared" si="709"/>
        <v>0</v>
      </c>
      <c r="G148" s="706">
        <f t="shared" si="709"/>
        <v>0</v>
      </c>
      <c r="H148" s="706">
        <f t="shared" si="709"/>
        <v>0</v>
      </c>
      <c r="I148" s="706">
        <f t="shared" si="709"/>
        <v>0</v>
      </c>
      <c r="J148" s="706">
        <f t="shared" ref="J148" si="710">J142+J147</f>
        <v>0</v>
      </c>
      <c r="K148" s="706">
        <f t="shared" ref="K148" si="711">K142+K147</f>
        <v>0</v>
      </c>
      <c r="L148" s="706">
        <f t="shared" ref="L148" si="712">L142+L147</f>
        <v>0</v>
      </c>
      <c r="M148" s="706">
        <f t="shared" ref="M148" si="713">M142+M147</f>
        <v>0</v>
      </c>
      <c r="N148" s="706">
        <f t="shared" ref="N148" si="714">N142+N147</f>
        <v>0</v>
      </c>
      <c r="O148" s="706">
        <f t="shared" ref="O148:P148" si="715">O142+O147</f>
        <v>0</v>
      </c>
      <c r="P148" s="706">
        <f t="shared" si="715"/>
        <v>0</v>
      </c>
      <c r="Q148" s="706">
        <f t="shared" ref="Q148" si="716">Q142+Q147</f>
        <v>0</v>
      </c>
      <c r="R148" s="706">
        <f t="shared" ref="R148" si="717">R142+R147</f>
        <v>0</v>
      </c>
      <c r="S148" s="706">
        <f t="shared" ref="S148" si="718">S142+S147</f>
        <v>0</v>
      </c>
      <c r="T148" s="706">
        <f t="shared" ref="T148" si="719">T142+T147</f>
        <v>0</v>
      </c>
      <c r="U148" s="706">
        <f t="shared" ref="U148" si="720">U142+U147</f>
        <v>0</v>
      </c>
      <c r="V148" s="706">
        <f t="shared" ref="V148:W148" si="721">V142+V147</f>
        <v>0</v>
      </c>
      <c r="W148" s="706">
        <f t="shared" si="721"/>
        <v>0</v>
      </c>
      <c r="X148" s="706">
        <f t="shared" ref="X148" si="722">X142+X147</f>
        <v>0</v>
      </c>
      <c r="Y148" s="706">
        <f t="shared" ref="Y148" si="723">Y142+Y147</f>
        <v>0</v>
      </c>
      <c r="Z148" s="706">
        <f t="shared" ref="Z148" si="724">Z142+Z147</f>
        <v>0</v>
      </c>
      <c r="AA148" s="706">
        <f t="shared" ref="AA148" si="725">AA142+AA147</f>
        <v>0</v>
      </c>
      <c r="AB148" s="706">
        <f t="shared" ref="AB148" si="726">AB142+AB147</f>
        <v>0</v>
      </c>
      <c r="AC148" s="706">
        <f t="shared" ref="AC148:AD148" si="727">AC142+AC147</f>
        <v>0</v>
      </c>
      <c r="AD148" s="706">
        <f t="shared" si="727"/>
        <v>0</v>
      </c>
      <c r="AE148" s="706">
        <f t="shared" ref="AE148" si="728">AE142+AE147</f>
        <v>0</v>
      </c>
      <c r="AF148" s="706">
        <f t="shared" ref="AF148" si="729">AF142+AF147</f>
        <v>0</v>
      </c>
      <c r="AG148" s="706">
        <f t="shared" ref="AG148" si="730">AG142+AG147</f>
        <v>0</v>
      </c>
      <c r="AH148" s="706">
        <f t="shared" ref="AH148" si="731">AH142+AH147</f>
        <v>0</v>
      </c>
      <c r="AI148" s="706">
        <f t="shared" ref="AI148" si="732">AI142+AI147</f>
        <v>0</v>
      </c>
      <c r="AL148" s="155"/>
      <c r="AN148" s="156"/>
      <c r="AO148" s="157"/>
      <c r="AP148" s="156"/>
      <c r="AQ148" s="157"/>
      <c r="AR148" s="156"/>
    </row>
    <row r="149" spans="1:44" s="154" customFormat="1" ht="11.25" outlineLevel="1" x14ac:dyDescent="0.2">
      <c r="A149" s="162" t="s">
        <v>23</v>
      </c>
      <c r="B149" s="706">
        <f>SUM('gadu šķirošana'!C22,'gadu šķirošana'!C29)</f>
        <v>0</v>
      </c>
      <c r="C149" s="706">
        <f>SUM('gadu šķirošana'!D22,'gadu šķirošana'!D29)</f>
        <v>51782.85</v>
      </c>
      <c r="D149" s="706">
        <f>SUM('gadu šķirošana'!E22,'gadu šķirošana'!E29)</f>
        <v>7644</v>
      </c>
      <c r="E149" s="706">
        <f>SUM('gadu šķirošana'!F22,'gadu šķirošana'!F29)</f>
        <v>0</v>
      </c>
      <c r="F149" s="706">
        <f>SUM('gadu šķirošana'!G22,'gadu šķirošana'!G29)</f>
        <v>0</v>
      </c>
      <c r="G149" s="706">
        <f>SUM('gadu šķirošana'!H22,'gadu šķirošana'!H29)</f>
        <v>0</v>
      </c>
      <c r="H149" s="706">
        <f>SUM('gadu šķirošana'!I22,'gadu šķirošana'!I29)</f>
        <v>0</v>
      </c>
      <c r="I149" s="706">
        <f>SUM('gadu šķirošana'!J22,'gadu šķirošana'!J29)</f>
        <v>0</v>
      </c>
      <c r="J149" s="706">
        <f>SUM('gadu šķirošana'!K22,'gadu šķirošana'!K29)</f>
        <v>0</v>
      </c>
      <c r="K149" s="706">
        <f>SUM('gadu šķirošana'!L22,'gadu šķirošana'!L29)</f>
        <v>0</v>
      </c>
      <c r="L149" s="706">
        <f>SUM('gadu šķirošana'!M22,'gadu šķirošana'!M29)</f>
        <v>0</v>
      </c>
      <c r="M149" s="706">
        <f>SUM('gadu šķirošana'!N22,'gadu šķirošana'!N29)</f>
        <v>0</v>
      </c>
      <c r="N149" s="706">
        <f>SUM('gadu šķirošana'!O22,'gadu šķirošana'!O29)</f>
        <v>0</v>
      </c>
      <c r="O149" s="706">
        <f>SUM('gadu šķirošana'!P22,'gadu šķirošana'!P29)</f>
        <v>0</v>
      </c>
      <c r="P149" s="706">
        <f>SUM('gadu šķirošana'!Q22,'gadu šķirošana'!Q29)</f>
        <v>0</v>
      </c>
      <c r="Q149" s="706">
        <f>SUM('gadu šķirošana'!R22,'gadu šķirošana'!R29)</f>
        <v>0</v>
      </c>
      <c r="R149" s="706">
        <f>SUM('gadu šķirošana'!S22,'gadu šķirošana'!S29)</f>
        <v>0</v>
      </c>
      <c r="S149" s="706">
        <f>SUM('gadu šķirošana'!T22,'gadu šķirošana'!T29)</f>
        <v>0</v>
      </c>
      <c r="T149" s="706">
        <f>SUM('gadu šķirošana'!U22,'gadu šķirošana'!U29)</f>
        <v>0</v>
      </c>
      <c r="U149" s="706">
        <f>SUM('gadu šķirošana'!V22,'gadu šķirošana'!V29)</f>
        <v>0</v>
      </c>
      <c r="V149" s="706">
        <f>SUM('gadu šķirošana'!W22,'gadu šķirošana'!W29)</f>
        <v>0</v>
      </c>
      <c r="W149" s="706">
        <f>SUM('gadu šķirošana'!X22,'gadu šķirošana'!X29)</f>
        <v>0</v>
      </c>
      <c r="X149" s="706">
        <f>SUM('gadu šķirošana'!Y22,'gadu šķirošana'!Y29)</f>
        <v>0</v>
      </c>
      <c r="Y149" s="706">
        <f>SUM('gadu šķirošana'!Z22,'gadu šķirošana'!Z29)</f>
        <v>0</v>
      </c>
      <c r="Z149" s="706">
        <f>SUM('gadu šķirošana'!AA22,'gadu šķirošana'!AA29)</f>
        <v>0</v>
      </c>
      <c r="AA149" s="706">
        <f>SUM('gadu šķirošana'!AB22,'gadu šķirošana'!AB29)</f>
        <v>0</v>
      </c>
      <c r="AB149" s="706">
        <f>SUM('gadu šķirošana'!AC22,'gadu šķirošana'!AC29)</f>
        <v>0</v>
      </c>
      <c r="AC149" s="706">
        <f>SUM('gadu šķirošana'!AD22,'gadu šķirošana'!AD29)</f>
        <v>0</v>
      </c>
      <c r="AD149" s="706">
        <f>SUM('gadu šķirošana'!AE22,'gadu šķirošana'!AE29)</f>
        <v>0</v>
      </c>
      <c r="AE149" s="706">
        <f>SUM('gadu šķirošana'!AF22,'gadu šķirošana'!AF29)</f>
        <v>0</v>
      </c>
      <c r="AF149" s="706">
        <f>SUM('gadu šķirošana'!AG22,'gadu šķirošana'!AG29)</f>
        <v>0</v>
      </c>
      <c r="AG149" s="706">
        <f>SUM('gadu šķirošana'!AH22,'gadu šķirošana'!AH29)</f>
        <v>0</v>
      </c>
      <c r="AH149" s="706">
        <f>SUM('gadu šķirošana'!AI22,'gadu šķirošana'!AI29)</f>
        <v>0</v>
      </c>
      <c r="AI149" s="706">
        <f>SUM('gadu šķirošana'!AJ22,'gadu šķirošana'!AJ29)</f>
        <v>0</v>
      </c>
      <c r="AL149" s="155"/>
      <c r="AN149" s="156"/>
      <c r="AO149" s="157"/>
      <c r="AP149" s="156"/>
      <c r="AQ149" s="157"/>
      <c r="AR149" s="156"/>
    </row>
    <row r="150" spans="1:44" outlineLevel="1" x14ac:dyDescent="0.2">
      <c r="A150" s="162" t="s">
        <v>394</v>
      </c>
      <c r="B150" s="705">
        <f>B148+B149</f>
        <v>0</v>
      </c>
      <c r="C150" s="705">
        <f t="shared" ref="C150:I150" si="733">C148+C149</f>
        <v>298367.84999999998</v>
      </c>
      <c r="D150" s="705">
        <f t="shared" si="733"/>
        <v>44044</v>
      </c>
      <c r="E150" s="705">
        <f t="shared" si="733"/>
        <v>0</v>
      </c>
      <c r="F150" s="705">
        <f t="shared" si="733"/>
        <v>0</v>
      </c>
      <c r="G150" s="705">
        <f t="shared" si="733"/>
        <v>0</v>
      </c>
      <c r="H150" s="705">
        <f t="shared" si="733"/>
        <v>0</v>
      </c>
      <c r="I150" s="705">
        <f t="shared" si="733"/>
        <v>0</v>
      </c>
      <c r="J150" s="705">
        <f t="shared" ref="J150" si="734">J148+J149</f>
        <v>0</v>
      </c>
      <c r="K150" s="705">
        <f t="shared" ref="K150" si="735">K148+K149</f>
        <v>0</v>
      </c>
      <c r="L150" s="705">
        <f t="shared" ref="L150" si="736">L148+L149</f>
        <v>0</v>
      </c>
      <c r="M150" s="705">
        <f t="shared" ref="M150" si="737">M148+M149</f>
        <v>0</v>
      </c>
      <c r="N150" s="705">
        <f t="shared" ref="N150" si="738">N148+N149</f>
        <v>0</v>
      </c>
      <c r="O150" s="705">
        <f t="shared" ref="O150:P150" si="739">O148+O149</f>
        <v>0</v>
      </c>
      <c r="P150" s="705">
        <f t="shared" si="739"/>
        <v>0</v>
      </c>
      <c r="Q150" s="705">
        <f t="shared" ref="Q150" si="740">Q148+Q149</f>
        <v>0</v>
      </c>
      <c r="R150" s="705">
        <f t="shared" ref="R150" si="741">R148+R149</f>
        <v>0</v>
      </c>
      <c r="S150" s="705">
        <f t="shared" ref="S150" si="742">S148+S149</f>
        <v>0</v>
      </c>
      <c r="T150" s="705">
        <f t="shared" ref="T150" si="743">T148+T149</f>
        <v>0</v>
      </c>
      <c r="U150" s="705">
        <f t="shared" ref="U150" si="744">U148+U149</f>
        <v>0</v>
      </c>
      <c r="V150" s="705">
        <f t="shared" ref="V150:W150" si="745">V148+V149</f>
        <v>0</v>
      </c>
      <c r="W150" s="705">
        <f t="shared" si="745"/>
        <v>0</v>
      </c>
      <c r="X150" s="705">
        <f t="shared" ref="X150" si="746">X148+X149</f>
        <v>0</v>
      </c>
      <c r="Y150" s="705">
        <f t="shared" ref="Y150" si="747">Y148+Y149</f>
        <v>0</v>
      </c>
      <c r="Z150" s="705">
        <f t="shared" ref="Z150" si="748">Z148+Z149</f>
        <v>0</v>
      </c>
      <c r="AA150" s="705">
        <f t="shared" ref="AA150" si="749">AA148+AA149</f>
        <v>0</v>
      </c>
      <c r="AB150" s="705">
        <f t="shared" ref="AB150" si="750">AB148+AB149</f>
        <v>0</v>
      </c>
      <c r="AC150" s="705">
        <f t="shared" ref="AC150:AD150" si="751">AC148+AC149</f>
        <v>0</v>
      </c>
      <c r="AD150" s="705">
        <f t="shared" si="751"/>
        <v>0</v>
      </c>
      <c r="AE150" s="705">
        <f t="shared" ref="AE150" si="752">AE148+AE149</f>
        <v>0</v>
      </c>
      <c r="AF150" s="705">
        <f t="shared" ref="AF150" si="753">AF148+AF149</f>
        <v>0</v>
      </c>
      <c r="AG150" s="705">
        <f t="shared" ref="AG150" si="754">AG148+AG149</f>
        <v>0</v>
      </c>
      <c r="AH150" s="705">
        <f t="shared" ref="AH150" si="755">AH148+AH149</f>
        <v>0</v>
      </c>
      <c r="AI150" s="705">
        <f t="shared" ref="AI150" si="756">AI148+AI149</f>
        <v>0</v>
      </c>
    </row>
    <row r="151" spans="1:44" outlineLevel="1" x14ac:dyDescent="0.2">
      <c r="A151" s="162"/>
      <c r="B151" s="705"/>
      <c r="C151" s="708"/>
      <c r="D151" s="708"/>
      <c r="E151" s="708"/>
      <c r="F151" s="708"/>
      <c r="G151" s="705"/>
      <c r="H151" s="705"/>
      <c r="I151" s="705"/>
      <c r="J151" s="705"/>
      <c r="K151" s="705"/>
      <c r="L151" s="705"/>
      <c r="M151" s="705"/>
      <c r="N151" s="705"/>
      <c r="O151" s="705"/>
      <c r="P151" s="705"/>
      <c r="Q151" s="705"/>
      <c r="R151" s="705"/>
      <c r="S151" s="705"/>
      <c r="T151" s="705"/>
      <c r="U151" s="705"/>
      <c r="V151" s="705"/>
      <c r="W151" s="705"/>
      <c r="X151" s="705"/>
      <c r="Y151" s="705"/>
      <c r="Z151" s="705"/>
      <c r="AA151" s="705"/>
      <c r="AB151" s="705"/>
      <c r="AC151" s="705"/>
      <c r="AD151" s="705"/>
      <c r="AE151" s="705"/>
      <c r="AF151" s="705"/>
      <c r="AG151" s="705"/>
      <c r="AH151" s="705"/>
      <c r="AI151" s="705"/>
    </row>
    <row r="152" spans="1:44" outlineLevel="1" x14ac:dyDescent="0.2">
      <c r="A152" s="162">
        <v>0</v>
      </c>
      <c r="B152" s="705">
        <v>0</v>
      </c>
      <c r="C152" s="708">
        <v>0</v>
      </c>
      <c r="D152" s="708">
        <v>0</v>
      </c>
      <c r="E152" s="708">
        <v>0</v>
      </c>
      <c r="F152" s="708">
        <v>0</v>
      </c>
      <c r="G152" s="705">
        <v>0</v>
      </c>
      <c r="H152" s="705">
        <v>0</v>
      </c>
      <c r="I152" s="705">
        <v>0</v>
      </c>
      <c r="J152" s="705">
        <v>0</v>
      </c>
      <c r="K152" s="705">
        <v>0</v>
      </c>
      <c r="L152" s="705">
        <v>0</v>
      </c>
      <c r="M152" s="705">
        <v>0</v>
      </c>
      <c r="N152" s="705">
        <v>0</v>
      </c>
      <c r="O152" s="705">
        <v>0</v>
      </c>
      <c r="P152" s="705">
        <v>0</v>
      </c>
      <c r="Q152" s="705">
        <v>0</v>
      </c>
      <c r="R152" s="705">
        <v>0</v>
      </c>
      <c r="S152" s="705">
        <v>0</v>
      </c>
      <c r="T152" s="705">
        <v>0</v>
      </c>
      <c r="U152" s="705">
        <v>0</v>
      </c>
      <c r="V152" s="705">
        <v>0</v>
      </c>
      <c r="W152" s="705">
        <v>0</v>
      </c>
      <c r="X152" s="705">
        <v>0</v>
      </c>
      <c r="Y152" s="705">
        <v>0</v>
      </c>
      <c r="Z152" s="705">
        <v>0</v>
      </c>
      <c r="AA152" s="705">
        <v>0</v>
      </c>
      <c r="AB152" s="705">
        <v>0</v>
      </c>
      <c r="AC152" s="705">
        <v>0</v>
      </c>
      <c r="AD152" s="705">
        <v>0</v>
      </c>
      <c r="AE152" s="705">
        <v>0</v>
      </c>
      <c r="AF152" s="705">
        <v>0</v>
      </c>
      <c r="AG152" s="705">
        <v>0</v>
      </c>
      <c r="AH152" s="705">
        <v>0</v>
      </c>
      <c r="AI152" s="705">
        <v>0</v>
      </c>
    </row>
    <row r="153" spans="1:44" outlineLevel="1" x14ac:dyDescent="0.2">
      <c r="A153" s="162"/>
      <c r="B153" s="705"/>
      <c r="C153" s="708"/>
      <c r="D153" s="708"/>
      <c r="E153" s="708"/>
      <c r="F153" s="708"/>
      <c r="G153" s="705"/>
      <c r="H153" s="705"/>
      <c r="I153" s="705"/>
      <c r="J153" s="705"/>
      <c r="K153" s="705"/>
      <c r="L153" s="705"/>
      <c r="M153" s="705"/>
      <c r="N153" s="705"/>
      <c r="O153" s="705"/>
      <c r="P153" s="705"/>
      <c r="Q153" s="705"/>
      <c r="R153" s="705"/>
      <c r="S153" s="705"/>
      <c r="T153" s="705"/>
      <c r="U153" s="705"/>
      <c r="V153" s="705"/>
      <c r="W153" s="705"/>
      <c r="X153" s="705"/>
      <c r="Y153" s="705"/>
      <c r="Z153" s="705"/>
      <c r="AA153" s="705"/>
      <c r="AB153" s="705"/>
      <c r="AC153" s="705"/>
      <c r="AD153" s="705"/>
      <c r="AE153" s="705"/>
      <c r="AF153" s="705"/>
      <c r="AG153" s="705"/>
      <c r="AH153" s="705"/>
      <c r="AI153" s="705"/>
    </row>
    <row r="154" spans="1:44" s="154" customFormat="1" ht="11.25" outlineLevel="1" x14ac:dyDescent="0.2">
      <c r="A154" s="161" t="s">
        <v>391</v>
      </c>
      <c r="B154" s="705">
        <f t="shared" ref="B154:AH154" si="757">SUM(B144:B145,B152)</f>
        <v>0</v>
      </c>
      <c r="C154" s="708">
        <f>'Datu ievade'!C63</f>
        <v>40800</v>
      </c>
      <c r="D154" s="708">
        <f>'Datu ievade'!D63</f>
        <v>36400</v>
      </c>
      <c r="E154" s="708">
        <f>'Datu ievade'!E63</f>
        <v>0</v>
      </c>
      <c r="F154" s="708">
        <f>'Datu ievade'!F63</f>
        <v>0</v>
      </c>
      <c r="G154" s="708">
        <f>'Datu ievade'!G63</f>
        <v>0</v>
      </c>
      <c r="H154" s="708">
        <f>'Datu ievade'!H63</f>
        <v>0</v>
      </c>
      <c r="I154" s="708">
        <f>'Datu ievade'!I63</f>
        <v>0</v>
      </c>
      <c r="J154" s="708">
        <f>'Datu ievade'!J63</f>
        <v>0</v>
      </c>
      <c r="K154" s="705">
        <f t="shared" si="757"/>
        <v>0</v>
      </c>
      <c r="L154" s="705">
        <f t="shared" si="757"/>
        <v>0</v>
      </c>
      <c r="M154" s="705">
        <f t="shared" si="757"/>
        <v>0</v>
      </c>
      <c r="N154" s="705">
        <f t="shared" si="757"/>
        <v>0</v>
      </c>
      <c r="O154" s="705">
        <f t="shared" si="757"/>
        <v>0</v>
      </c>
      <c r="P154" s="705">
        <f t="shared" si="757"/>
        <v>0</v>
      </c>
      <c r="Q154" s="705">
        <f t="shared" si="757"/>
        <v>0</v>
      </c>
      <c r="R154" s="705">
        <f t="shared" si="757"/>
        <v>0</v>
      </c>
      <c r="S154" s="705">
        <f t="shared" si="757"/>
        <v>0</v>
      </c>
      <c r="T154" s="705">
        <f t="shared" si="757"/>
        <v>0</v>
      </c>
      <c r="U154" s="705">
        <f t="shared" si="757"/>
        <v>0</v>
      </c>
      <c r="V154" s="705">
        <f t="shared" si="757"/>
        <v>0</v>
      </c>
      <c r="W154" s="705">
        <f t="shared" si="757"/>
        <v>0</v>
      </c>
      <c r="X154" s="705">
        <f t="shared" si="757"/>
        <v>0</v>
      </c>
      <c r="Y154" s="705">
        <f t="shared" si="757"/>
        <v>0</v>
      </c>
      <c r="Z154" s="705">
        <f t="shared" si="757"/>
        <v>0</v>
      </c>
      <c r="AA154" s="705">
        <f t="shared" si="757"/>
        <v>0</v>
      </c>
      <c r="AB154" s="705">
        <f t="shared" si="757"/>
        <v>0</v>
      </c>
      <c r="AC154" s="705">
        <f t="shared" si="757"/>
        <v>0</v>
      </c>
      <c r="AD154" s="705">
        <f t="shared" si="757"/>
        <v>0</v>
      </c>
      <c r="AE154" s="705">
        <f t="shared" si="757"/>
        <v>0</v>
      </c>
      <c r="AF154" s="705">
        <f t="shared" si="757"/>
        <v>0</v>
      </c>
      <c r="AG154" s="705">
        <f t="shared" si="757"/>
        <v>0</v>
      </c>
      <c r="AH154" s="705">
        <f t="shared" si="757"/>
        <v>0</v>
      </c>
      <c r="AI154" s="705">
        <f>SUM(AI144:AI145,AI152)</f>
        <v>0</v>
      </c>
      <c r="AL154" s="155"/>
      <c r="AN154" s="156"/>
      <c r="AO154" s="157"/>
      <c r="AP154" s="156"/>
      <c r="AQ154" s="157"/>
      <c r="AR154" s="156"/>
    </row>
    <row r="155" spans="1:44" s="154" customFormat="1" ht="11.25" outlineLevel="1" x14ac:dyDescent="0.2">
      <c r="A155" s="161" t="s">
        <v>392</v>
      </c>
      <c r="B155" s="705">
        <f t="shared" ref="B155:AH155" si="758">SUM(B139:B141,MAX(B146-B152,0))</f>
        <v>0</v>
      </c>
      <c r="C155" s="708">
        <f>C156-'Datu ievade'!C73</f>
        <v>205785</v>
      </c>
      <c r="D155" s="708">
        <f>D156-'Datu ievade'!D73</f>
        <v>0</v>
      </c>
      <c r="E155" s="708">
        <f>E156-'Datu ievade'!E73</f>
        <v>0</v>
      </c>
      <c r="F155" s="708">
        <f>F156-'Datu ievade'!F73</f>
        <v>0</v>
      </c>
      <c r="G155" s="708">
        <f>G156-'Datu ievade'!G73</f>
        <v>0</v>
      </c>
      <c r="H155" s="708">
        <f>H156-'Datu ievade'!H73</f>
        <v>0</v>
      </c>
      <c r="I155" s="708">
        <f>I156-'Datu ievade'!I73</f>
        <v>0</v>
      </c>
      <c r="J155" s="705">
        <f t="shared" si="758"/>
        <v>0</v>
      </c>
      <c r="K155" s="705">
        <f t="shared" si="758"/>
        <v>0</v>
      </c>
      <c r="L155" s="705">
        <f t="shared" si="758"/>
        <v>0</v>
      </c>
      <c r="M155" s="705">
        <f t="shared" si="758"/>
        <v>0</v>
      </c>
      <c r="N155" s="705">
        <f t="shared" si="758"/>
        <v>0</v>
      </c>
      <c r="O155" s="705">
        <f t="shared" si="758"/>
        <v>0</v>
      </c>
      <c r="P155" s="705">
        <f t="shared" si="758"/>
        <v>0</v>
      </c>
      <c r="Q155" s="705">
        <f t="shared" si="758"/>
        <v>0</v>
      </c>
      <c r="R155" s="705">
        <f t="shared" si="758"/>
        <v>0</v>
      </c>
      <c r="S155" s="705">
        <f t="shared" si="758"/>
        <v>0</v>
      </c>
      <c r="T155" s="705">
        <f t="shared" si="758"/>
        <v>0</v>
      </c>
      <c r="U155" s="705">
        <f t="shared" si="758"/>
        <v>0</v>
      </c>
      <c r="V155" s="705">
        <f t="shared" si="758"/>
        <v>0</v>
      </c>
      <c r="W155" s="705">
        <f t="shared" si="758"/>
        <v>0</v>
      </c>
      <c r="X155" s="705">
        <f t="shared" si="758"/>
        <v>0</v>
      </c>
      <c r="Y155" s="705">
        <f t="shared" si="758"/>
        <v>0</v>
      </c>
      <c r="Z155" s="705">
        <f t="shared" si="758"/>
        <v>0</v>
      </c>
      <c r="AA155" s="705">
        <f t="shared" si="758"/>
        <v>0</v>
      </c>
      <c r="AB155" s="705">
        <f t="shared" si="758"/>
        <v>0</v>
      </c>
      <c r="AC155" s="705">
        <f t="shared" si="758"/>
        <v>0</v>
      </c>
      <c r="AD155" s="705">
        <f t="shared" si="758"/>
        <v>0</v>
      </c>
      <c r="AE155" s="705">
        <f t="shared" si="758"/>
        <v>0</v>
      </c>
      <c r="AF155" s="705">
        <f t="shared" si="758"/>
        <v>0</v>
      </c>
      <c r="AG155" s="705">
        <f t="shared" si="758"/>
        <v>0</v>
      </c>
      <c r="AH155" s="705">
        <f t="shared" si="758"/>
        <v>0</v>
      </c>
      <c r="AI155" s="705">
        <f>SUM(AI139:AI141,MAX(AI146-AI152,0))</f>
        <v>0</v>
      </c>
      <c r="AL155" s="155"/>
      <c r="AN155" s="156"/>
      <c r="AO155" s="157"/>
      <c r="AP155" s="156"/>
      <c r="AQ155" s="157"/>
      <c r="AR155" s="156"/>
    </row>
    <row r="156" spans="1:44" s="154" customFormat="1" ht="11.25" outlineLevel="1" x14ac:dyDescent="0.2">
      <c r="A156" s="161" t="s">
        <v>395</v>
      </c>
      <c r="B156" s="705">
        <f>B155+B149</f>
        <v>0</v>
      </c>
      <c r="C156" s="708">
        <f>'Datu ievade'!C74</f>
        <v>257567.85</v>
      </c>
      <c r="D156" s="708">
        <f>'Datu ievade'!D74</f>
        <v>7644</v>
      </c>
      <c r="E156" s="708">
        <f>'Datu ievade'!E74</f>
        <v>0</v>
      </c>
      <c r="F156" s="708">
        <f>'Datu ievade'!F74</f>
        <v>0</v>
      </c>
      <c r="G156" s="708">
        <f>'Datu ievade'!G74</f>
        <v>0</v>
      </c>
      <c r="H156" s="708">
        <f>'Datu ievade'!H74</f>
        <v>0</v>
      </c>
      <c r="I156" s="708">
        <f>'Datu ievade'!I74</f>
        <v>0</v>
      </c>
      <c r="J156" s="705">
        <f t="shared" ref="J156:AH156" si="759">J155+J149</f>
        <v>0</v>
      </c>
      <c r="K156" s="705">
        <f t="shared" si="759"/>
        <v>0</v>
      </c>
      <c r="L156" s="705">
        <f t="shared" si="759"/>
        <v>0</v>
      </c>
      <c r="M156" s="705">
        <f t="shared" si="759"/>
        <v>0</v>
      </c>
      <c r="N156" s="705">
        <f t="shared" si="759"/>
        <v>0</v>
      </c>
      <c r="O156" s="705">
        <f t="shared" si="759"/>
        <v>0</v>
      </c>
      <c r="P156" s="705">
        <f t="shared" si="759"/>
        <v>0</v>
      </c>
      <c r="Q156" s="705">
        <f t="shared" si="759"/>
        <v>0</v>
      </c>
      <c r="R156" s="705">
        <f t="shared" si="759"/>
        <v>0</v>
      </c>
      <c r="S156" s="705">
        <f t="shared" si="759"/>
        <v>0</v>
      </c>
      <c r="T156" s="705">
        <f t="shared" si="759"/>
        <v>0</v>
      </c>
      <c r="U156" s="705">
        <f t="shared" si="759"/>
        <v>0</v>
      </c>
      <c r="V156" s="705">
        <f t="shared" si="759"/>
        <v>0</v>
      </c>
      <c r="W156" s="705">
        <f t="shared" si="759"/>
        <v>0</v>
      </c>
      <c r="X156" s="705">
        <f t="shared" si="759"/>
        <v>0</v>
      </c>
      <c r="Y156" s="705">
        <f t="shared" si="759"/>
        <v>0</v>
      </c>
      <c r="Z156" s="705">
        <f t="shared" si="759"/>
        <v>0</v>
      </c>
      <c r="AA156" s="705">
        <f t="shared" si="759"/>
        <v>0</v>
      </c>
      <c r="AB156" s="705">
        <f t="shared" si="759"/>
        <v>0</v>
      </c>
      <c r="AC156" s="705">
        <f t="shared" si="759"/>
        <v>0</v>
      </c>
      <c r="AD156" s="705">
        <f t="shared" si="759"/>
        <v>0</v>
      </c>
      <c r="AE156" s="705">
        <f t="shared" si="759"/>
        <v>0</v>
      </c>
      <c r="AF156" s="705">
        <f t="shared" si="759"/>
        <v>0</v>
      </c>
      <c r="AG156" s="705">
        <f t="shared" si="759"/>
        <v>0</v>
      </c>
      <c r="AH156" s="705">
        <f t="shared" si="759"/>
        <v>0</v>
      </c>
      <c r="AI156" s="705">
        <f>AI155+AI149</f>
        <v>0</v>
      </c>
      <c r="AL156" s="155"/>
      <c r="AN156" s="156"/>
      <c r="AO156" s="157"/>
      <c r="AP156" s="156"/>
      <c r="AQ156" s="157"/>
      <c r="AR156" s="156"/>
    </row>
    <row r="157" spans="1:44" s="136" customFormat="1" x14ac:dyDescent="0.2">
      <c r="A157" s="148"/>
      <c r="B157" s="704"/>
      <c r="C157" s="704"/>
      <c r="D157" s="704"/>
      <c r="E157" s="704"/>
      <c r="F157" s="704"/>
      <c r="G157" s="704"/>
      <c r="H157" s="704"/>
      <c r="I157" s="704"/>
      <c r="J157" s="704"/>
      <c r="K157" s="704"/>
      <c r="L157" s="704"/>
      <c r="M157" s="704"/>
      <c r="N157" s="704"/>
      <c r="O157" s="704"/>
      <c r="P157" s="704"/>
      <c r="Q157" s="704"/>
      <c r="R157" s="704"/>
      <c r="S157" s="704"/>
      <c r="T157" s="704"/>
      <c r="U157" s="704"/>
      <c r="V157" s="704"/>
      <c r="W157" s="704"/>
      <c r="X157" s="704"/>
      <c r="Y157" s="704"/>
      <c r="Z157" s="704"/>
      <c r="AA157" s="704"/>
      <c r="AB157" s="704"/>
      <c r="AC157" s="704"/>
      <c r="AD157" s="704"/>
      <c r="AE157" s="704"/>
      <c r="AF157" s="704"/>
      <c r="AG157" s="704"/>
      <c r="AH157" s="704"/>
      <c r="AI157" s="704"/>
      <c r="AL157" s="113"/>
      <c r="AN157" s="133"/>
      <c r="AO157" s="112"/>
      <c r="AP157" s="133"/>
      <c r="AQ157" s="112"/>
      <c r="AR157" s="133"/>
    </row>
    <row r="158" spans="1:44" s="136" customFormat="1" ht="17.25" customHeight="1" x14ac:dyDescent="0.2">
      <c r="A158" s="163" t="s">
        <v>110</v>
      </c>
      <c r="B158" s="707"/>
      <c r="C158" s="148"/>
      <c r="D158" s="148"/>
      <c r="E158" s="148"/>
      <c r="F158" s="148"/>
      <c r="G158" s="148"/>
      <c r="H158" s="148"/>
      <c r="I158" s="148"/>
      <c r="J158" s="148"/>
      <c r="K158" s="148"/>
      <c r="L158" s="148"/>
      <c r="M158" s="148"/>
      <c r="N158" s="148"/>
      <c r="O158" s="148"/>
      <c r="P158" s="148"/>
      <c r="Q158" s="148"/>
      <c r="R158" s="148"/>
      <c r="S158" s="148"/>
      <c r="T158" s="148"/>
      <c r="U158" s="148"/>
      <c r="V158" s="148"/>
      <c r="W158" s="148"/>
      <c r="X158" s="148"/>
      <c r="Y158" s="148"/>
      <c r="Z158" s="148"/>
      <c r="AA158" s="148"/>
      <c r="AB158" s="148"/>
      <c r="AC158" s="148"/>
      <c r="AD158" s="148"/>
      <c r="AE158" s="148"/>
      <c r="AF158" s="148"/>
      <c r="AG158" s="148"/>
      <c r="AH158" s="148"/>
      <c r="AI158" s="148"/>
      <c r="AL158" s="113"/>
      <c r="AN158" s="133"/>
      <c r="AO158" s="112"/>
      <c r="AP158" s="133"/>
      <c r="AQ158" s="112"/>
      <c r="AR158" s="133"/>
    </row>
    <row r="159" spans="1:44" s="136" customFormat="1" x14ac:dyDescent="0.2">
      <c r="A159" s="147" t="s">
        <v>111</v>
      </c>
      <c r="B159" s="696">
        <f>SUM(C148:AF148)</f>
        <v>282985</v>
      </c>
      <c r="C159" s="164"/>
      <c r="D159" s="164"/>
      <c r="E159" s="164"/>
      <c r="F159" s="164"/>
      <c r="G159" s="164"/>
      <c r="H159" s="164"/>
      <c r="I159" s="164"/>
      <c r="J159" s="164"/>
      <c r="K159" s="164"/>
      <c r="L159" s="164"/>
      <c r="M159" s="164"/>
      <c r="N159" s="164"/>
      <c r="O159" s="164"/>
      <c r="P159" s="164"/>
      <c r="Q159" s="164"/>
      <c r="R159" s="164"/>
      <c r="S159" s="164"/>
      <c r="T159" s="164"/>
      <c r="U159" s="164"/>
      <c r="V159" s="164"/>
      <c r="W159" s="164"/>
      <c r="X159" s="164"/>
      <c r="Y159" s="164"/>
      <c r="Z159" s="164"/>
      <c r="AA159" s="164"/>
      <c r="AB159" s="164"/>
      <c r="AC159" s="164"/>
      <c r="AD159" s="164"/>
      <c r="AE159" s="164"/>
      <c r="AF159" s="164"/>
      <c r="AG159" s="164"/>
      <c r="AH159" s="164"/>
      <c r="AI159" s="164"/>
      <c r="AL159" s="113"/>
      <c r="AN159" s="133"/>
      <c r="AO159" s="112"/>
      <c r="AP159" s="133"/>
      <c r="AQ159" s="112"/>
      <c r="AR159" s="133"/>
    </row>
    <row r="160" spans="1:44" s="136" customFormat="1" x14ac:dyDescent="0.2">
      <c r="A160" s="147" t="s">
        <v>112</v>
      </c>
      <c r="B160" s="696">
        <f>NPV('Kopējie pieņēmumi'!$B$16,C148:AF148)</f>
        <v>261151.76215196503</v>
      </c>
      <c r="C160" s="1047" t="s">
        <v>396</v>
      </c>
      <c r="D160" s="1048"/>
      <c r="E160" s="1048"/>
      <c r="F160" s="1048" t="s">
        <v>397</v>
      </c>
      <c r="G160" s="1048"/>
      <c r="H160" s="1048"/>
      <c r="I160" s="1048"/>
      <c r="J160" s="1048"/>
      <c r="K160" s="1048"/>
      <c r="L160" s="1048"/>
      <c r="M160" s="1048"/>
      <c r="N160" s="1048"/>
      <c r="O160" s="1048"/>
      <c r="P160" s="1048"/>
      <c r="Q160" s="1048"/>
      <c r="R160" s="1048"/>
      <c r="S160" s="1048"/>
      <c r="T160" s="1048"/>
      <c r="U160" s="1048"/>
      <c r="V160" s="1048"/>
      <c r="W160" s="1048"/>
      <c r="X160" s="1048"/>
      <c r="Y160" s="1048"/>
      <c r="Z160" s="1048"/>
      <c r="AA160" s="1048"/>
      <c r="AB160" s="1048"/>
      <c r="AC160" s="1048"/>
      <c r="AD160" s="165"/>
      <c r="AE160" s="164"/>
      <c r="AF160" s="164"/>
      <c r="AG160" s="164"/>
      <c r="AH160" s="164"/>
      <c r="AI160" s="164"/>
      <c r="AL160" s="113"/>
      <c r="AN160" s="133"/>
      <c r="AO160" s="112"/>
      <c r="AP160" s="133"/>
      <c r="AQ160" s="112"/>
      <c r="AR160" s="133"/>
    </row>
    <row r="161" spans="1:252" s="136" customFormat="1" x14ac:dyDescent="0.2">
      <c r="A161" s="57" t="s">
        <v>113</v>
      </c>
      <c r="B161" s="696">
        <f>SUM(C154:AF154)</f>
        <v>77200</v>
      </c>
      <c r="C161" s="164"/>
      <c r="D161" s="164"/>
      <c r="E161" s="164"/>
      <c r="F161" s="164"/>
      <c r="G161" s="164"/>
      <c r="H161" s="164"/>
      <c r="I161" s="164"/>
      <c r="J161" s="164"/>
      <c r="K161" s="164"/>
      <c r="L161" s="164"/>
      <c r="M161" s="164"/>
      <c r="N161" s="164"/>
      <c r="O161" s="164"/>
      <c r="P161" s="164"/>
      <c r="Q161" s="164"/>
      <c r="R161" s="164"/>
      <c r="S161" s="164"/>
      <c r="T161" s="164"/>
      <c r="U161" s="164"/>
      <c r="V161" s="164"/>
      <c r="W161" s="164"/>
      <c r="X161" s="164"/>
      <c r="Y161" s="164"/>
      <c r="Z161" s="164"/>
      <c r="AA161" s="164"/>
      <c r="AB161" s="164"/>
      <c r="AC161" s="164"/>
      <c r="AD161" s="164"/>
      <c r="AE161" s="164"/>
      <c r="AF161" s="164"/>
      <c r="AG161" s="164"/>
      <c r="AH161" s="164"/>
      <c r="AI161" s="164"/>
      <c r="AL161" s="113"/>
      <c r="AN161" s="133"/>
      <c r="AO161" s="112"/>
      <c r="AP161" s="133"/>
      <c r="AQ161" s="112"/>
      <c r="AR161" s="133"/>
    </row>
    <row r="162" spans="1:252" s="136" customFormat="1" x14ac:dyDescent="0.2">
      <c r="A162" s="147" t="s">
        <v>114</v>
      </c>
      <c r="B162" s="696">
        <f>NPV('Kopējie pieņēmumi'!$B$16,C154:AF154)</f>
        <v>69545.616900568362</v>
      </c>
      <c r="C162" s="1047" t="s">
        <v>396</v>
      </c>
      <c r="D162" s="1048"/>
      <c r="E162" s="1048"/>
      <c r="F162" s="164"/>
      <c r="G162" s="164"/>
      <c r="H162" s="164"/>
      <c r="I162" s="164"/>
      <c r="J162" s="164"/>
      <c r="K162" s="164"/>
      <c r="L162" s="164"/>
      <c r="M162" s="164"/>
      <c r="N162" s="164"/>
      <c r="O162" s="164"/>
      <c r="P162" s="164"/>
      <c r="Q162" s="164"/>
      <c r="R162" s="164"/>
      <c r="S162" s="164"/>
      <c r="T162" s="164"/>
      <c r="U162" s="164"/>
      <c r="V162" s="164"/>
      <c r="W162" s="164"/>
      <c r="X162" s="164"/>
      <c r="Y162" s="164"/>
      <c r="Z162" s="164"/>
      <c r="AA162" s="164"/>
      <c r="AB162" s="164"/>
      <c r="AC162" s="164"/>
      <c r="AD162" s="164"/>
      <c r="AE162" s="164"/>
      <c r="AF162" s="164"/>
      <c r="AG162" s="164"/>
      <c r="AH162" s="164"/>
      <c r="AI162" s="164"/>
      <c r="AL162" s="113"/>
      <c r="AN162" s="133"/>
      <c r="AO162" s="112"/>
      <c r="AP162" s="133"/>
      <c r="AQ162" s="112"/>
      <c r="AR162" s="133"/>
    </row>
    <row r="163" spans="1:252" s="136" customFormat="1" x14ac:dyDescent="0.2">
      <c r="A163" s="147" t="s">
        <v>115</v>
      </c>
      <c r="B163" s="695">
        <f>NPV('Kopējie pieņēmumi'!$B$16,'Saimnieciskas pamatdarbibas NP'!C160:AF160)</f>
        <v>129729.59609000177</v>
      </c>
      <c r="C163" s="1047" t="s">
        <v>396</v>
      </c>
      <c r="D163" s="1048"/>
      <c r="E163" s="1048"/>
      <c r="F163" s="164"/>
      <c r="G163" s="164"/>
      <c r="H163" s="164"/>
      <c r="I163" s="164"/>
      <c r="J163" s="164"/>
      <c r="K163" s="164"/>
      <c r="L163" s="164"/>
      <c r="M163" s="164"/>
      <c r="N163" s="164"/>
      <c r="O163" s="164"/>
      <c r="P163" s="164"/>
      <c r="Q163" s="164"/>
      <c r="R163" s="164"/>
      <c r="S163" s="164"/>
      <c r="T163" s="164"/>
      <c r="U163" s="164"/>
      <c r="V163" s="164"/>
      <c r="W163" s="164"/>
      <c r="X163" s="164"/>
      <c r="Y163" s="164"/>
      <c r="Z163" s="164"/>
      <c r="AA163" s="164"/>
      <c r="AB163" s="164"/>
      <c r="AC163" s="164"/>
      <c r="AD163" s="164"/>
      <c r="AE163" s="164"/>
      <c r="AF163" s="164"/>
      <c r="AG163" s="164"/>
      <c r="AH163" s="164"/>
      <c r="AI163" s="164"/>
      <c r="AL163" s="113"/>
      <c r="AN163" s="133"/>
      <c r="AO163" s="112"/>
      <c r="AP163" s="133"/>
      <c r="AQ163" s="112"/>
      <c r="AR163" s="133"/>
    </row>
    <row r="164" spans="1:252" s="136" customFormat="1" x14ac:dyDescent="0.2">
      <c r="A164" s="136" t="s">
        <v>116</v>
      </c>
      <c r="B164" s="695">
        <f>NPV('Kopējie pieņēmumi'!$B$16,'Saimnieciskas pamatdarbibas NP'!C159:AF159)</f>
        <v>304135.35227771039</v>
      </c>
      <c r="C164" s="1047" t="s">
        <v>396</v>
      </c>
      <c r="D164" s="1048"/>
      <c r="E164" s="1048"/>
      <c r="F164" s="164"/>
      <c r="G164" s="164"/>
      <c r="H164" s="164"/>
      <c r="I164" s="164"/>
      <c r="J164" s="164"/>
      <c r="K164" s="164"/>
      <c r="L164" s="164"/>
      <c r="M164" s="164"/>
      <c r="N164" s="164"/>
      <c r="O164" s="164"/>
      <c r="P164" s="164"/>
      <c r="Q164" s="164"/>
      <c r="R164" s="164"/>
      <c r="S164" s="164"/>
      <c r="T164" s="164"/>
      <c r="U164" s="164"/>
      <c r="V164" s="164"/>
      <c r="W164" s="164"/>
      <c r="X164" s="164"/>
      <c r="Y164" s="164"/>
      <c r="Z164" s="164"/>
      <c r="AA164" s="164"/>
      <c r="AB164" s="164"/>
      <c r="AC164" s="164"/>
      <c r="AD164" s="164"/>
      <c r="AE164" s="164"/>
      <c r="AF164" s="164"/>
      <c r="AG164" s="164"/>
      <c r="AH164" s="164"/>
      <c r="AI164" s="164"/>
      <c r="AL164" s="113"/>
      <c r="AN164" s="133"/>
      <c r="AO164" s="112"/>
      <c r="AP164" s="133"/>
      <c r="AQ164" s="112"/>
      <c r="AR164" s="133"/>
    </row>
    <row r="165" spans="1:252" s="136" customFormat="1" x14ac:dyDescent="0.2">
      <c r="A165" s="147" t="s">
        <v>117</v>
      </c>
      <c r="B165" s="695">
        <f>NPV('Kopējie pieņēmumi'!$B$17,'Saimnieciskas pamatdarbibas NP'!C150:AF150)</f>
        <v>196587.02328998066</v>
      </c>
      <c r="C165" s="1047" t="s">
        <v>396</v>
      </c>
      <c r="D165" s="1048"/>
      <c r="E165" s="1048"/>
      <c r="F165" s="164"/>
      <c r="G165" s="164"/>
      <c r="H165" s="164"/>
      <c r="I165" s="164"/>
      <c r="J165" s="164"/>
      <c r="K165" s="164"/>
      <c r="L165" s="164"/>
      <c r="M165" s="164"/>
      <c r="N165" s="164"/>
      <c r="O165" s="164"/>
      <c r="P165" s="164"/>
      <c r="Q165" s="164"/>
      <c r="R165" s="164"/>
      <c r="S165" s="164"/>
      <c r="T165" s="164"/>
      <c r="U165" s="164"/>
      <c r="V165" s="164"/>
      <c r="W165" s="164"/>
      <c r="X165" s="164"/>
      <c r="Y165" s="164"/>
      <c r="Z165" s="164"/>
      <c r="AA165" s="164"/>
      <c r="AB165" s="164"/>
      <c r="AC165" s="164"/>
      <c r="AD165" s="164"/>
      <c r="AE165" s="164"/>
      <c r="AF165" s="164"/>
      <c r="AG165" s="164"/>
      <c r="AH165" s="164"/>
      <c r="AI165" s="164"/>
      <c r="AL165" s="113"/>
      <c r="AN165" s="133"/>
      <c r="AO165" s="112"/>
      <c r="AP165" s="133"/>
      <c r="AQ165" s="112"/>
      <c r="AR165" s="133"/>
    </row>
    <row r="166" spans="1:252" s="136" customFormat="1" x14ac:dyDescent="0.2">
      <c r="A166" s="136" t="s">
        <v>118</v>
      </c>
      <c r="B166" s="695">
        <f>NPV('Kopējie pieņēmumi'!$B$16,C238:AF238)</f>
        <v>310497.18562853371</v>
      </c>
      <c r="C166" s="1047" t="s">
        <v>396</v>
      </c>
      <c r="D166" s="1048"/>
      <c r="E166" s="1048"/>
      <c r="F166" s="164"/>
      <c r="G166" s="164"/>
      <c r="H166" s="164"/>
      <c r="I166" s="164"/>
      <c r="J166" s="164"/>
      <c r="K166" s="164"/>
      <c r="L166" s="164"/>
      <c r="M166" s="164"/>
      <c r="N166" s="164"/>
      <c r="O166" s="164"/>
      <c r="P166" s="164"/>
      <c r="Q166" s="164"/>
      <c r="R166" s="164"/>
      <c r="S166" s="164"/>
      <c r="T166" s="164"/>
      <c r="U166" s="164"/>
      <c r="V166" s="164"/>
      <c r="W166" s="164"/>
      <c r="X166" s="164"/>
      <c r="Y166" s="164"/>
      <c r="Z166" s="164"/>
      <c r="AA166" s="164"/>
      <c r="AB166" s="164"/>
      <c r="AC166" s="164"/>
      <c r="AD166" s="164"/>
      <c r="AE166" s="164"/>
      <c r="AF166" s="164"/>
      <c r="AG166" s="164"/>
      <c r="AH166" s="164"/>
      <c r="AI166" s="164"/>
      <c r="AL166" s="113"/>
      <c r="AN166" s="133"/>
      <c r="AO166" s="112"/>
      <c r="AP166" s="133"/>
      <c r="AQ166" s="112"/>
      <c r="AR166" s="133"/>
    </row>
    <row r="167" spans="1:252" s="136" customFormat="1" x14ac:dyDescent="0.2">
      <c r="A167" s="57" t="s">
        <v>119</v>
      </c>
      <c r="B167" s="695">
        <f>NPV('Kopējie pieņēmumi'!$B$17,C239:AF239)</f>
        <v>196587.02328998066</v>
      </c>
      <c r="C167" s="1047" t="s">
        <v>396</v>
      </c>
      <c r="D167" s="1048"/>
      <c r="E167" s="1048"/>
      <c r="F167" s="164"/>
      <c r="G167" s="164"/>
      <c r="H167" s="164"/>
      <c r="I167" s="164"/>
      <c r="J167" s="164"/>
      <c r="K167" s="164"/>
      <c r="L167" s="164"/>
      <c r="M167" s="164"/>
      <c r="N167" s="164"/>
      <c r="O167" s="164"/>
      <c r="P167" s="164"/>
      <c r="Q167" s="164"/>
      <c r="R167" s="164"/>
      <c r="S167" s="164"/>
      <c r="T167" s="164"/>
      <c r="U167" s="164"/>
      <c r="V167" s="164"/>
      <c r="W167" s="164"/>
      <c r="X167" s="164"/>
      <c r="Y167" s="164"/>
      <c r="Z167" s="164"/>
      <c r="AA167" s="164"/>
      <c r="AB167" s="164"/>
      <c r="AC167" s="164"/>
      <c r="AD167" s="164"/>
      <c r="AE167" s="164"/>
      <c r="AF167" s="164"/>
      <c r="AG167" s="164"/>
      <c r="AH167" s="164"/>
      <c r="AI167" s="164"/>
      <c r="AL167" s="113"/>
      <c r="AN167" s="133"/>
      <c r="AO167" s="112"/>
      <c r="AP167" s="133"/>
      <c r="AQ167" s="112"/>
      <c r="AR167" s="133"/>
    </row>
    <row r="168" spans="1:252" s="136" customFormat="1" x14ac:dyDescent="0.2">
      <c r="A168" s="57" t="s">
        <v>120</v>
      </c>
      <c r="B168" s="695">
        <f>IF(('Kopējie pieņēmumi'!$B$31-1)=Aprekini!B117,B123+B129+B135,0)</f>
        <v>0</v>
      </c>
      <c r="C168" s="695">
        <f>IF(('Kopējie pieņēmumi'!$B$31-1)=Aprekini!C117,C123+C129+C135,0)</f>
        <v>0</v>
      </c>
      <c r="D168" s="695">
        <f>IF(('Kopējie pieņēmumi'!$B$31-1)=Aprekini!D117,D123+D129+D135,0)</f>
        <v>0</v>
      </c>
      <c r="E168" s="695">
        <f>IF(('Kopējie pieņēmumi'!$B$31-1)=Aprekini!E117,E123+E129+E135,0)</f>
        <v>0</v>
      </c>
      <c r="F168" s="695">
        <f>IF(('Kopējie pieņēmumi'!$B$31-1)=Aprekini!F117,F123+F129+F135,0)</f>
        <v>0</v>
      </c>
      <c r="G168" s="695">
        <f>IF(('Kopējie pieņēmumi'!$B$31-1)=Aprekini!G117,G123+G129+G135,0)</f>
        <v>0</v>
      </c>
      <c r="H168" s="695">
        <f>IF(('Kopējie pieņēmumi'!$B$31-1)=Aprekini!H117,H123+H129+H135,0)</f>
        <v>0</v>
      </c>
      <c r="I168" s="695">
        <f>IF(('Kopējie pieņēmumi'!$B$31-1)=Aprekini!I117,I123+I129+I135,0)</f>
        <v>0</v>
      </c>
      <c r="J168" s="695">
        <f>IF(('Kopējie pieņēmumi'!$B$31-1)=Aprekini!J117,J123+J129+J135,0)</f>
        <v>0</v>
      </c>
      <c r="K168" s="695">
        <f>IF(('Kopējie pieņēmumi'!$B$31-1)=Aprekini!K117,K123+K129+K135,0)</f>
        <v>0</v>
      </c>
      <c r="L168" s="695">
        <f>IF(('Kopējie pieņēmumi'!$B$31-1)=Aprekini!L117,L123+L129+L135,0)</f>
        <v>0</v>
      </c>
      <c r="M168" s="695">
        <f>IF(('Kopējie pieņēmumi'!$B$31-1)=Aprekini!M117,M123+M129+M135,0)</f>
        <v>0</v>
      </c>
      <c r="N168" s="695">
        <f>IF(('Kopējie pieņēmumi'!$B$31-1)=Aprekini!N117,N123+N129+N135,0)</f>
        <v>0</v>
      </c>
      <c r="O168" s="695">
        <f>IF(('Kopējie pieņēmumi'!$B$31-1)=Aprekini!O117,O123+O129+O135,0)</f>
        <v>0</v>
      </c>
      <c r="P168" s="695">
        <f>IF(('Kopējie pieņēmumi'!$B$31-1)=Aprekini!P117,P123+P129+P135,0)</f>
        <v>0</v>
      </c>
      <c r="Q168" s="695">
        <f>IF(('Kopējie pieņēmumi'!$B$31-1)=Aprekini!Q117,Q123+Q129+Q135,0)</f>
        <v>0</v>
      </c>
      <c r="R168" s="695">
        <f>IF(('Kopējie pieņēmumi'!$B$31-1)=Aprekini!R117,R123+R129+R135,0)</f>
        <v>0</v>
      </c>
      <c r="S168" s="695">
        <f>IF(('Kopējie pieņēmumi'!$B$31-1)=Aprekini!S117,S123+S129+S135,0)</f>
        <v>0</v>
      </c>
      <c r="T168" s="695">
        <f>IF(('Kopējie pieņēmumi'!$B$31-1)=Aprekini!T117,T123+T129+T135,0)</f>
        <v>0</v>
      </c>
      <c r="U168" s="695">
        <f>IF(('Kopējie pieņēmumi'!$B$31-1)=Aprekini!U117,U123+U129+U135,0)</f>
        <v>0</v>
      </c>
      <c r="V168" s="695">
        <f>IF(('Kopējie pieņēmumi'!$B$31-1)=Aprekini!V117,V123+V129+V135,0)</f>
        <v>0</v>
      </c>
      <c r="W168" s="695">
        <f>IF(('Kopējie pieņēmumi'!$B$31-1)=Aprekini!W117,W123+W129+W135,0)</f>
        <v>0</v>
      </c>
      <c r="X168" s="695">
        <f>IF(('Kopējie pieņēmumi'!$B$31-1)=Aprekini!X117,X123+X129+X135,0)</f>
        <v>0</v>
      </c>
      <c r="Y168" s="695">
        <f>IF(('Kopējie pieņēmumi'!$B$31-1)=Aprekini!Y117,Y123+Y129+Y135,0)</f>
        <v>0</v>
      </c>
      <c r="Z168" s="695">
        <f>IF(('Kopējie pieņēmumi'!$B$31-1)=Aprekini!Z117,Z123+Z129+Z135,0)</f>
        <v>0</v>
      </c>
      <c r="AA168" s="695">
        <f>IF(('Kopējie pieņēmumi'!$B$31-1)=Aprekini!AA117,AA123+AA129+AA135,0)</f>
        <v>0</v>
      </c>
      <c r="AB168" s="695">
        <f>IF(('Kopējie pieņēmumi'!$B$31-1)=Aprekini!AB117,AB123+AB129+AB135,0)</f>
        <v>0</v>
      </c>
      <c r="AC168" s="695">
        <f>IF(('Kopējie pieņēmumi'!$B$31-1)=Aprekini!AC117,AC123+AC129+AC135,0)</f>
        <v>0</v>
      </c>
      <c r="AD168" s="695">
        <f>IF(('Kopējie pieņēmumi'!$B$31-1)=Aprekini!AD117,AD123+AD129+AD135,0)</f>
        <v>0</v>
      </c>
      <c r="AE168" s="695">
        <f>IF(('Kopējie pieņēmumi'!$B$31-1)=Aprekini!AE117,AE123+AE129+AE135,0)</f>
        <v>0</v>
      </c>
      <c r="AF168" s="695">
        <f>IF(('Kopējie pieņēmumi'!$B$31-1)=Aprekini!AF117,AF123+AF129+AF135,0)</f>
        <v>54164</v>
      </c>
      <c r="AG168" s="695">
        <f>IF(('Kopējie pieņēmumi'!$B$31-1)=Aprekini!AG117,AG123+AG129+AG135,0)</f>
        <v>0</v>
      </c>
      <c r="AH168" s="695">
        <f>IF(('Kopējie pieņēmumi'!$B$31-1)=Aprekini!AH117,AH123+AH129+AH135,0)</f>
        <v>0</v>
      </c>
      <c r="AI168" s="695">
        <f>IF(('Kopējie pieņēmumi'!$B$31-1)=Aprekini!AI117,AI123+AI129+AI135,0)</f>
        <v>0</v>
      </c>
      <c r="AL168" s="113"/>
      <c r="AN168" s="133"/>
      <c r="AO168" s="112"/>
      <c r="AP168" s="133"/>
      <c r="AQ168" s="112"/>
      <c r="AR168" s="133"/>
    </row>
    <row r="169" spans="1:252" s="136" customFormat="1" x14ac:dyDescent="0.2">
      <c r="A169" s="57" t="s">
        <v>120</v>
      </c>
      <c r="B169" s="695">
        <f>SUM(B168:AI168)</f>
        <v>54164</v>
      </c>
      <c r="C169" s="1047" t="s">
        <v>396</v>
      </c>
      <c r="D169" s="1048"/>
      <c r="E169" s="1048"/>
      <c r="F169" s="164"/>
      <c r="G169" s="164"/>
      <c r="H169" s="164"/>
      <c r="I169" s="164"/>
      <c r="J169" s="164"/>
      <c r="K169" s="164"/>
      <c r="L169" s="164"/>
      <c r="M169" s="164"/>
      <c r="N169" s="164"/>
      <c r="O169" s="164"/>
      <c r="P169" s="164"/>
      <c r="Q169" s="164"/>
      <c r="R169" s="164"/>
      <c r="S169" s="164"/>
      <c r="T169" s="164"/>
      <c r="U169" s="164"/>
      <c r="V169" s="164"/>
      <c r="W169" s="164"/>
      <c r="X169" s="164"/>
      <c r="Y169" s="164"/>
      <c r="Z169" s="164"/>
      <c r="AA169" s="164"/>
      <c r="AB169" s="164"/>
      <c r="AC169" s="164"/>
      <c r="AD169" s="164"/>
      <c r="AE169" s="164"/>
      <c r="AF169" s="164"/>
      <c r="AG169" s="164"/>
      <c r="AH169" s="164"/>
      <c r="AI169" s="164"/>
      <c r="AL169" s="113"/>
      <c r="AN169" s="133"/>
      <c r="AO169" s="112"/>
      <c r="AP169" s="133"/>
      <c r="AQ169" s="112"/>
      <c r="AR169" s="133"/>
    </row>
    <row r="170" spans="1:252" s="136" customFormat="1" x14ac:dyDescent="0.2">
      <c r="A170" s="57" t="s">
        <v>121</v>
      </c>
      <c r="B170" s="695">
        <f>NPV('Kopējie pieņēmumi'!$B$16,Aprekini!C168:AF168)</f>
        <v>6361.8333508233154</v>
      </c>
      <c r="C170" s="1047" t="s">
        <v>396</v>
      </c>
      <c r="D170" s="1048"/>
      <c r="E170" s="1048"/>
      <c r="F170" s="164"/>
      <c r="G170" s="164"/>
      <c r="H170" s="164"/>
      <c r="I170" s="164"/>
      <c r="J170" s="164"/>
      <c r="K170" s="164"/>
      <c r="L170" s="164"/>
      <c r="M170" s="164"/>
      <c r="N170" s="164"/>
      <c r="O170" s="164"/>
      <c r="P170" s="164"/>
      <c r="Q170" s="164"/>
      <c r="R170" s="164"/>
      <c r="S170" s="164"/>
      <c r="T170" s="164"/>
      <c r="U170" s="164"/>
      <c r="V170" s="164"/>
      <c r="W170" s="164"/>
      <c r="X170" s="164"/>
      <c r="Y170" s="164"/>
      <c r="Z170" s="164"/>
      <c r="AA170" s="164"/>
      <c r="AB170" s="164"/>
      <c r="AC170" s="164"/>
      <c r="AD170" s="164"/>
      <c r="AE170" s="164"/>
      <c r="AF170" s="164"/>
      <c r="AG170" s="164"/>
      <c r="AH170" s="164"/>
      <c r="AI170" s="164"/>
      <c r="AL170" s="113"/>
      <c r="AN170" s="133"/>
      <c r="AO170" s="112"/>
      <c r="AP170" s="133"/>
      <c r="AQ170" s="112"/>
      <c r="AR170" s="133"/>
    </row>
    <row r="171" spans="1:252" s="136" customFormat="1" x14ac:dyDescent="0.2">
      <c r="A171" s="163" t="s">
        <v>122</v>
      </c>
      <c r="B171" s="166"/>
      <c r="C171" s="164"/>
      <c r="D171" s="164"/>
      <c r="E171" s="164"/>
      <c r="F171" s="164"/>
      <c r="G171" s="164"/>
      <c r="H171" s="164"/>
      <c r="I171" s="164"/>
      <c r="J171" s="164"/>
      <c r="K171" s="164"/>
      <c r="L171" s="164"/>
      <c r="M171" s="164"/>
      <c r="N171" s="164"/>
      <c r="O171" s="164"/>
      <c r="P171" s="164"/>
      <c r="Q171" s="164"/>
      <c r="R171" s="164"/>
      <c r="S171" s="164"/>
      <c r="T171" s="164"/>
      <c r="U171" s="164"/>
      <c r="V171" s="164"/>
      <c r="W171" s="164"/>
      <c r="X171" s="164"/>
      <c r="Y171" s="164"/>
      <c r="Z171" s="164"/>
      <c r="AA171" s="164"/>
      <c r="AB171" s="164"/>
      <c r="AC171" s="164"/>
      <c r="AD171" s="164"/>
      <c r="AE171" s="164"/>
      <c r="AF171" s="164"/>
      <c r="AG171" s="164"/>
      <c r="AH171" s="164"/>
      <c r="AI171" s="164"/>
      <c r="AL171" s="113"/>
      <c r="AN171" s="133"/>
      <c r="AO171" s="112"/>
      <c r="AP171" s="133"/>
      <c r="AQ171" s="112"/>
      <c r="AR171" s="133"/>
    </row>
    <row r="172" spans="1:252" s="136" customFormat="1" x14ac:dyDescent="0.2">
      <c r="A172" s="147" t="s">
        <v>123</v>
      </c>
      <c r="B172" s="37">
        <f>IFERROR(SUM(B142:AH142)/SUM(B148:AH148),0)</f>
        <v>0.32439881972542717</v>
      </c>
      <c r="AL172" s="113"/>
      <c r="AN172" s="133"/>
      <c r="AO172" s="112"/>
      <c r="AP172" s="133"/>
      <c r="AQ172" s="112"/>
      <c r="AR172" s="133"/>
    </row>
    <row r="173" spans="1:252" s="136" customFormat="1" x14ac:dyDescent="0.2">
      <c r="A173" s="147" t="s">
        <v>124</v>
      </c>
      <c r="B173" s="37">
        <f>1-B172</f>
        <v>0.67560118027457283</v>
      </c>
      <c r="AL173" s="113"/>
      <c r="AN173" s="133"/>
      <c r="AO173" s="112"/>
      <c r="AP173" s="133"/>
      <c r="AQ173" s="112"/>
      <c r="AR173" s="133"/>
    </row>
    <row r="174" spans="1:252" s="136" customFormat="1" x14ac:dyDescent="0.2">
      <c r="AL174" s="113"/>
      <c r="AN174" s="133"/>
      <c r="AO174" s="112"/>
      <c r="AP174" s="133"/>
      <c r="AQ174" s="112"/>
      <c r="AR174" s="133"/>
    </row>
    <row r="175" spans="1:252" s="136" customFormat="1" ht="31.5" x14ac:dyDescent="0.2">
      <c r="A175" s="167" t="s">
        <v>286</v>
      </c>
      <c r="B175" s="168"/>
      <c r="C175" s="168"/>
      <c r="D175" s="168"/>
      <c r="E175" s="169"/>
      <c r="F175" s="169"/>
      <c r="G175" s="169"/>
      <c r="H175" s="169"/>
      <c r="I175" s="169"/>
      <c r="J175" s="169"/>
      <c r="K175" s="169"/>
      <c r="L175" s="169"/>
      <c r="M175" s="169"/>
      <c r="N175" s="169"/>
      <c r="O175" s="169"/>
      <c r="P175" s="169"/>
      <c r="Q175" s="169"/>
      <c r="R175" s="169"/>
      <c r="S175" s="170"/>
      <c r="T175" s="170"/>
      <c r="U175" s="170"/>
      <c r="V175" s="170"/>
      <c r="W175" s="170"/>
      <c r="X175" s="170"/>
      <c r="Y175" s="170"/>
      <c r="Z175" s="170"/>
      <c r="AA175" s="170"/>
      <c r="AB175" s="170"/>
      <c r="AC175" s="170"/>
      <c r="AD175" s="170"/>
      <c r="AE175" s="170"/>
      <c r="AF175" s="170"/>
      <c r="AG175" s="170"/>
      <c r="AH175" s="170"/>
      <c r="AI175" s="170"/>
      <c r="AJ175" s="154"/>
      <c r="AK175" s="154"/>
      <c r="AL175" s="113"/>
      <c r="AM175" s="154"/>
      <c r="AN175" s="133"/>
      <c r="AO175" s="112"/>
      <c r="AP175" s="133"/>
      <c r="AQ175" s="112"/>
      <c r="AR175" s="133"/>
      <c r="AS175" s="154"/>
      <c r="AT175" s="154"/>
      <c r="AU175" s="154"/>
      <c r="AV175" s="154"/>
      <c r="AW175" s="154"/>
      <c r="AX175" s="154"/>
      <c r="AY175" s="154"/>
      <c r="AZ175" s="154"/>
      <c r="BA175" s="154"/>
      <c r="BB175" s="154"/>
      <c r="BC175" s="154"/>
      <c r="BD175" s="154"/>
      <c r="BE175" s="154"/>
      <c r="BF175" s="154"/>
      <c r="BG175" s="154"/>
      <c r="BH175" s="154"/>
      <c r="BI175" s="154"/>
      <c r="BJ175" s="154"/>
      <c r="BK175" s="154"/>
      <c r="BL175" s="154"/>
      <c r="BM175" s="154"/>
      <c r="BN175" s="154"/>
      <c r="BO175" s="154"/>
      <c r="BP175" s="154"/>
      <c r="BQ175" s="154"/>
      <c r="BR175" s="154"/>
      <c r="BS175" s="154"/>
      <c r="BT175" s="154"/>
      <c r="BU175" s="154"/>
      <c r="BV175" s="154"/>
      <c r="BW175" s="154"/>
      <c r="BX175" s="154"/>
      <c r="BY175" s="154"/>
      <c r="BZ175" s="154"/>
      <c r="CA175" s="154"/>
      <c r="CB175" s="154"/>
      <c r="CC175" s="154"/>
      <c r="CD175" s="154"/>
      <c r="CE175" s="154"/>
      <c r="CF175" s="154"/>
      <c r="CG175" s="154"/>
      <c r="CH175" s="154"/>
      <c r="CI175" s="154"/>
      <c r="CJ175" s="154"/>
      <c r="CK175" s="154"/>
      <c r="CL175" s="154"/>
      <c r="CM175" s="154"/>
      <c r="CN175" s="154"/>
      <c r="CO175" s="154"/>
      <c r="CP175" s="154"/>
      <c r="CQ175" s="154"/>
      <c r="CR175" s="154"/>
      <c r="CS175" s="154"/>
      <c r="CT175" s="154"/>
      <c r="CU175" s="154"/>
      <c r="CV175" s="154"/>
      <c r="CW175" s="154"/>
      <c r="CX175" s="154"/>
      <c r="CY175" s="154"/>
      <c r="CZ175" s="154"/>
      <c r="DA175" s="154"/>
      <c r="DB175" s="154"/>
      <c r="DC175" s="154"/>
      <c r="DD175" s="154"/>
      <c r="DE175" s="154"/>
      <c r="DF175" s="154"/>
      <c r="DG175" s="154"/>
      <c r="DH175" s="154"/>
      <c r="DI175" s="154"/>
      <c r="DJ175" s="154"/>
      <c r="DK175" s="154"/>
      <c r="DL175" s="154"/>
      <c r="DM175" s="154"/>
      <c r="DN175" s="154"/>
      <c r="DO175" s="154"/>
      <c r="DP175" s="154"/>
      <c r="DQ175" s="154"/>
      <c r="DR175" s="154"/>
      <c r="DS175" s="154"/>
      <c r="DT175" s="154"/>
      <c r="DU175" s="154"/>
      <c r="DV175" s="154"/>
      <c r="DW175" s="154"/>
      <c r="DX175" s="154"/>
      <c r="DY175" s="154"/>
      <c r="DZ175" s="154"/>
      <c r="EA175" s="154"/>
      <c r="EB175" s="154"/>
      <c r="EC175" s="154"/>
      <c r="ED175" s="154"/>
      <c r="EE175" s="154"/>
      <c r="EF175" s="154"/>
      <c r="EG175" s="154"/>
      <c r="EH175" s="154"/>
      <c r="EI175" s="154"/>
      <c r="EJ175" s="154"/>
      <c r="EK175" s="154"/>
      <c r="EL175" s="154"/>
      <c r="EM175" s="154"/>
      <c r="EN175" s="154"/>
      <c r="EO175" s="154"/>
      <c r="EP175" s="154"/>
      <c r="EQ175" s="154"/>
      <c r="ER175" s="154"/>
      <c r="ES175" s="154"/>
      <c r="ET175" s="154"/>
      <c r="EU175" s="154"/>
      <c r="EV175" s="154"/>
      <c r="EW175" s="154"/>
      <c r="EX175" s="154"/>
      <c r="EY175" s="154"/>
      <c r="EZ175" s="154"/>
      <c r="FA175" s="154"/>
      <c r="FB175" s="154"/>
      <c r="FC175" s="154"/>
      <c r="FD175" s="154"/>
      <c r="FE175" s="154"/>
      <c r="FF175" s="154"/>
      <c r="FG175" s="154"/>
      <c r="FH175" s="154"/>
      <c r="FI175" s="154"/>
      <c r="FJ175" s="154"/>
      <c r="FK175" s="154"/>
      <c r="FL175" s="154"/>
      <c r="FM175" s="154"/>
      <c r="FN175" s="154"/>
      <c r="FO175" s="154"/>
      <c r="FP175" s="154"/>
      <c r="FQ175" s="154"/>
      <c r="FR175" s="154"/>
      <c r="FS175" s="154"/>
      <c r="FT175" s="154"/>
      <c r="FU175" s="154"/>
      <c r="FV175" s="154"/>
      <c r="FW175" s="154"/>
      <c r="FX175" s="154"/>
      <c r="FY175" s="154"/>
      <c r="FZ175" s="154"/>
      <c r="GA175" s="154"/>
      <c r="GB175" s="154"/>
      <c r="GC175" s="154"/>
      <c r="GD175" s="154"/>
      <c r="GE175" s="154"/>
      <c r="GF175" s="154"/>
      <c r="GG175" s="154"/>
      <c r="GH175" s="154"/>
      <c r="GI175" s="154"/>
      <c r="GJ175" s="154"/>
      <c r="GK175" s="154"/>
      <c r="GL175" s="154"/>
      <c r="GM175" s="154"/>
      <c r="GN175" s="154"/>
      <c r="GO175" s="154"/>
      <c r="GP175" s="154"/>
      <c r="GQ175" s="154"/>
      <c r="GR175" s="154"/>
      <c r="GS175" s="154"/>
      <c r="GT175" s="154"/>
      <c r="GU175" s="154"/>
      <c r="GV175" s="154"/>
      <c r="GW175" s="154"/>
      <c r="GX175" s="154"/>
      <c r="GY175" s="154"/>
      <c r="GZ175" s="154"/>
      <c r="HA175" s="154"/>
      <c r="HB175" s="154"/>
      <c r="HC175" s="154"/>
      <c r="HD175" s="154"/>
      <c r="HE175" s="154"/>
      <c r="HF175" s="154"/>
      <c r="HG175" s="154"/>
      <c r="HH175" s="154"/>
      <c r="HI175" s="154"/>
      <c r="HJ175" s="154"/>
      <c r="HK175" s="154"/>
      <c r="HL175" s="154"/>
      <c r="HM175" s="154"/>
      <c r="HN175" s="154"/>
      <c r="HO175" s="154"/>
      <c r="HP175" s="154"/>
      <c r="HQ175" s="154"/>
      <c r="HR175" s="154"/>
      <c r="HS175" s="154"/>
      <c r="HT175" s="154"/>
      <c r="HU175" s="154"/>
      <c r="HV175" s="154"/>
      <c r="HW175" s="154"/>
      <c r="HX175" s="154"/>
      <c r="HY175" s="154"/>
      <c r="HZ175" s="154"/>
      <c r="IA175" s="154"/>
      <c r="IB175" s="154"/>
      <c r="IC175" s="154"/>
      <c r="ID175" s="154"/>
      <c r="IE175" s="154"/>
      <c r="IF175" s="154"/>
      <c r="IG175" s="154"/>
      <c r="IH175" s="154"/>
      <c r="II175" s="154"/>
      <c r="IJ175" s="154"/>
      <c r="IK175" s="154"/>
      <c r="IL175" s="154"/>
      <c r="IM175" s="154"/>
      <c r="IN175" s="154"/>
      <c r="IO175" s="154"/>
      <c r="IP175" s="154"/>
      <c r="IQ175" s="154"/>
      <c r="IR175" s="154"/>
    </row>
    <row r="176" spans="1:252" s="136" customFormat="1" x14ac:dyDescent="0.2">
      <c r="A176" s="171"/>
      <c r="B176" s="116"/>
      <c r="C176" s="116"/>
      <c r="D176" s="116"/>
      <c r="E176" s="116"/>
      <c r="F176" s="116"/>
      <c r="G176" s="116"/>
      <c r="H176" s="116"/>
      <c r="I176" s="116"/>
      <c r="J176" s="116"/>
      <c r="K176" s="172" t="s">
        <v>16</v>
      </c>
      <c r="L176" s="116"/>
      <c r="M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16"/>
      <c r="AL176" s="113"/>
      <c r="AN176" s="133"/>
      <c r="AO176" s="112"/>
      <c r="AP176" s="133"/>
      <c r="AQ176" s="112"/>
      <c r="AR176" s="133"/>
    </row>
    <row r="177" spans="1:44" s="176" customFormat="1" x14ac:dyDescent="0.2">
      <c r="A177" s="173" t="s">
        <v>125</v>
      </c>
      <c r="B177" s="174">
        <f>Aprekini!B5</f>
        <v>2019</v>
      </c>
      <c r="C177" s="174">
        <f t="shared" ref="C177:AG177" si="760">B177+1</f>
        <v>2020</v>
      </c>
      <c r="D177" s="174">
        <f t="shared" si="760"/>
        <v>2021</v>
      </c>
      <c r="E177" s="174">
        <f t="shared" si="760"/>
        <v>2022</v>
      </c>
      <c r="F177" s="174">
        <f t="shared" si="760"/>
        <v>2023</v>
      </c>
      <c r="G177" s="174">
        <f t="shared" si="760"/>
        <v>2024</v>
      </c>
      <c r="H177" s="174">
        <f t="shared" si="760"/>
        <v>2025</v>
      </c>
      <c r="I177" s="174">
        <f t="shared" si="760"/>
        <v>2026</v>
      </c>
      <c r="J177" s="174">
        <f t="shared" si="760"/>
        <v>2027</v>
      </c>
      <c r="K177" s="174">
        <f t="shared" si="760"/>
        <v>2028</v>
      </c>
      <c r="L177" s="174">
        <f t="shared" si="760"/>
        <v>2029</v>
      </c>
      <c r="M177" s="174">
        <f t="shared" si="760"/>
        <v>2030</v>
      </c>
      <c r="N177" s="174">
        <f t="shared" si="760"/>
        <v>2031</v>
      </c>
      <c r="O177" s="174">
        <f t="shared" si="760"/>
        <v>2032</v>
      </c>
      <c r="P177" s="174">
        <f t="shared" si="760"/>
        <v>2033</v>
      </c>
      <c r="Q177" s="174">
        <f t="shared" si="760"/>
        <v>2034</v>
      </c>
      <c r="R177" s="174">
        <f t="shared" si="760"/>
        <v>2035</v>
      </c>
      <c r="S177" s="174">
        <f t="shared" si="760"/>
        <v>2036</v>
      </c>
      <c r="T177" s="174">
        <f t="shared" si="760"/>
        <v>2037</v>
      </c>
      <c r="U177" s="174">
        <f t="shared" si="760"/>
        <v>2038</v>
      </c>
      <c r="V177" s="175">
        <f t="shared" si="760"/>
        <v>2039</v>
      </c>
      <c r="W177" s="175">
        <f t="shared" si="760"/>
        <v>2040</v>
      </c>
      <c r="X177" s="175">
        <f t="shared" si="760"/>
        <v>2041</v>
      </c>
      <c r="Y177" s="175">
        <f t="shared" si="760"/>
        <v>2042</v>
      </c>
      <c r="Z177" s="175">
        <f t="shared" si="760"/>
        <v>2043</v>
      </c>
      <c r="AA177" s="175">
        <f t="shared" si="760"/>
        <v>2044</v>
      </c>
      <c r="AB177" s="175">
        <f t="shared" si="760"/>
        <v>2045</v>
      </c>
      <c r="AC177" s="175">
        <f t="shared" si="760"/>
        <v>2046</v>
      </c>
      <c r="AD177" s="175">
        <f t="shared" si="760"/>
        <v>2047</v>
      </c>
      <c r="AE177" s="175">
        <f t="shared" si="760"/>
        <v>2048</v>
      </c>
      <c r="AF177" s="175">
        <f t="shared" si="760"/>
        <v>2049</v>
      </c>
      <c r="AG177" s="175">
        <f t="shared" si="760"/>
        <v>2050</v>
      </c>
      <c r="AH177" s="175">
        <f>AG177+1</f>
        <v>2051</v>
      </c>
      <c r="AI177" s="175">
        <f>AH177+1</f>
        <v>2052</v>
      </c>
      <c r="AL177" s="113"/>
      <c r="AN177" s="133"/>
      <c r="AO177" s="112"/>
      <c r="AP177" s="133"/>
      <c r="AQ177" s="112"/>
      <c r="AR177" s="133"/>
    </row>
    <row r="178" spans="1:44" s="176" customFormat="1" x14ac:dyDescent="0.2">
      <c r="A178" s="147" t="s">
        <v>126</v>
      </c>
      <c r="B178" s="709">
        <f>'gadu šķirošana'!C17*'gadu šķirošana'!C$79</f>
        <v>0</v>
      </c>
      <c r="C178" s="710">
        <f>'gadu šķirošana'!D17</f>
        <v>30600</v>
      </c>
      <c r="D178" s="710">
        <f>'gadu šķirošana'!E17</f>
        <v>0</v>
      </c>
      <c r="E178" s="710">
        <f>'gadu šķirošana'!F17</f>
        <v>0</v>
      </c>
      <c r="F178" s="710">
        <f>'gadu šķirošana'!G17</f>
        <v>0</v>
      </c>
      <c r="G178" s="710">
        <f>'gadu šķirošana'!H17</f>
        <v>0</v>
      </c>
      <c r="H178" s="710">
        <f>'gadu šķirošana'!I17</f>
        <v>0</v>
      </c>
      <c r="I178" s="710">
        <f>'gadu šķirošana'!J17</f>
        <v>0</v>
      </c>
      <c r="J178" s="710">
        <f>'gadu šķirošana'!K17</f>
        <v>0</v>
      </c>
      <c r="K178" s="710">
        <f>'gadu šķirošana'!L17</f>
        <v>0</v>
      </c>
      <c r="L178" s="710">
        <f>'gadu šķirošana'!M17</f>
        <v>0</v>
      </c>
      <c r="M178" s="710">
        <f>'gadu šķirošana'!N17</f>
        <v>0</v>
      </c>
      <c r="N178" s="710">
        <f>'gadu šķirošana'!O17</f>
        <v>0</v>
      </c>
      <c r="O178" s="710">
        <f>'gadu šķirošana'!P17</f>
        <v>0</v>
      </c>
      <c r="P178" s="710">
        <f>'gadu šķirošana'!Q17</f>
        <v>0</v>
      </c>
      <c r="Q178" s="710">
        <f>'gadu šķirošana'!R17</f>
        <v>0</v>
      </c>
      <c r="R178" s="710">
        <f>'gadu šķirošana'!S17</f>
        <v>0</v>
      </c>
      <c r="S178" s="710">
        <f>'gadu šķirošana'!T17</f>
        <v>0</v>
      </c>
      <c r="T178" s="710">
        <f>'gadu šķirošana'!U17</f>
        <v>0</v>
      </c>
      <c r="U178" s="710">
        <f>'gadu šķirošana'!V17</f>
        <v>0</v>
      </c>
      <c r="V178" s="710">
        <f>'gadu šķirošana'!W17</f>
        <v>0</v>
      </c>
      <c r="W178" s="710">
        <f>'gadu šķirošana'!X17</f>
        <v>0</v>
      </c>
      <c r="X178" s="710">
        <f>'gadu šķirošana'!Y17</f>
        <v>0</v>
      </c>
      <c r="Y178" s="710">
        <f>'gadu šķirošana'!Z17</f>
        <v>0</v>
      </c>
      <c r="Z178" s="710">
        <f>'gadu šķirošana'!AA17</f>
        <v>0</v>
      </c>
      <c r="AA178" s="710">
        <f>'gadu šķirošana'!AB17</f>
        <v>0</v>
      </c>
      <c r="AB178" s="710">
        <f>'gadu šķirošana'!AC17</f>
        <v>0</v>
      </c>
      <c r="AC178" s="710">
        <f>'gadu šķirošana'!AD17</f>
        <v>0</v>
      </c>
      <c r="AD178" s="710">
        <f>'gadu šķirošana'!AE17</f>
        <v>0</v>
      </c>
      <c r="AE178" s="710">
        <f>'gadu šķirošana'!AF17</f>
        <v>0</v>
      </c>
      <c r="AF178" s="710">
        <f>'gadu šķirošana'!AG17</f>
        <v>0</v>
      </c>
      <c r="AG178" s="710">
        <f>'gadu šķirošana'!AH17</f>
        <v>0</v>
      </c>
      <c r="AH178" s="710">
        <f>'gadu šķirošana'!AI17</f>
        <v>0</v>
      </c>
      <c r="AI178" s="710">
        <f>'gadu šķirošana'!AJ17</f>
        <v>0</v>
      </c>
      <c r="AJ178" s="177"/>
      <c r="AL178" s="113"/>
      <c r="AN178" s="133"/>
      <c r="AO178" s="112"/>
      <c r="AP178" s="133"/>
      <c r="AQ178" s="112"/>
      <c r="AR178" s="133"/>
    </row>
    <row r="179" spans="1:44" s="176" customFormat="1" x14ac:dyDescent="0.2">
      <c r="A179" s="147" t="s">
        <v>127</v>
      </c>
      <c r="B179" s="709">
        <f>'gadu šķirošana'!C18*'gadu šķirošana'!C$79</f>
        <v>0</v>
      </c>
      <c r="C179" s="710">
        <f>'gadu šķirošana'!D18</f>
        <v>30600</v>
      </c>
      <c r="D179" s="710">
        <f>'gadu šķirošana'!E18</f>
        <v>0</v>
      </c>
      <c r="E179" s="710">
        <f>'gadu šķirošana'!F18</f>
        <v>0</v>
      </c>
      <c r="F179" s="710">
        <f>'gadu šķirošana'!G18</f>
        <v>0</v>
      </c>
      <c r="G179" s="710">
        <f>'gadu šķirošana'!H18</f>
        <v>0</v>
      </c>
      <c r="H179" s="710">
        <f>'gadu šķirošana'!I18</f>
        <v>0</v>
      </c>
      <c r="I179" s="710">
        <f>'gadu šķirošana'!J18</f>
        <v>0</v>
      </c>
      <c r="J179" s="710">
        <f>'gadu šķirošana'!K18</f>
        <v>0</v>
      </c>
      <c r="K179" s="710">
        <f>'gadu šķirošana'!L18</f>
        <v>0</v>
      </c>
      <c r="L179" s="710">
        <f>'gadu šķirošana'!M18</f>
        <v>0</v>
      </c>
      <c r="M179" s="710">
        <f>'gadu šķirošana'!N18</f>
        <v>0</v>
      </c>
      <c r="N179" s="710">
        <f>'gadu šķirošana'!O18</f>
        <v>0</v>
      </c>
      <c r="O179" s="710">
        <f>'gadu šķirošana'!P18</f>
        <v>0</v>
      </c>
      <c r="P179" s="710">
        <f>'gadu šķirošana'!Q18</f>
        <v>0</v>
      </c>
      <c r="Q179" s="710">
        <f>'gadu šķirošana'!R18</f>
        <v>0</v>
      </c>
      <c r="R179" s="710">
        <f>'gadu šķirošana'!S18</f>
        <v>0</v>
      </c>
      <c r="S179" s="710">
        <f>'gadu šķirošana'!T18</f>
        <v>0</v>
      </c>
      <c r="T179" s="710">
        <f>'gadu šķirošana'!U18</f>
        <v>0</v>
      </c>
      <c r="U179" s="710">
        <f>'gadu šķirošana'!V18</f>
        <v>0</v>
      </c>
      <c r="V179" s="710">
        <f>'gadu šķirošana'!W18</f>
        <v>0</v>
      </c>
      <c r="W179" s="710">
        <f>'gadu šķirošana'!X18</f>
        <v>0</v>
      </c>
      <c r="X179" s="710">
        <f>'gadu šķirošana'!Y18</f>
        <v>0</v>
      </c>
      <c r="Y179" s="710">
        <f>'gadu šķirošana'!Z18</f>
        <v>0</v>
      </c>
      <c r="Z179" s="710">
        <f>'gadu šķirošana'!AA18</f>
        <v>0</v>
      </c>
      <c r="AA179" s="710">
        <f>'gadu šķirošana'!AB18</f>
        <v>0</v>
      </c>
      <c r="AB179" s="710">
        <f>'gadu šķirošana'!AC18</f>
        <v>0</v>
      </c>
      <c r="AC179" s="710">
        <f>'gadu šķirošana'!AD18</f>
        <v>0</v>
      </c>
      <c r="AD179" s="710">
        <f>'gadu šķirošana'!AE18</f>
        <v>0</v>
      </c>
      <c r="AE179" s="710">
        <f>'gadu šķirošana'!AF18</f>
        <v>0</v>
      </c>
      <c r="AF179" s="710">
        <f>'gadu šķirošana'!AG18</f>
        <v>0</v>
      </c>
      <c r="AG179" s="710">
        <f>'gadu šķirošana'!AH18</f>
        <v>0</v>
      </c>
      <c r="AH179" s="710">
        <f>'gadu šķirošana'!AI18</f>
        <v>0</v>
      </c>
      <c r="AI179" s="710">
        <f>'gadu šķirošana'!AJ18</f>
        <v>0</v>
      </c>
      <c r="AJ179" s="177"/>
      <c r="AL179" s="113"/>
      <c r="AN179" s="133"/>
      <c r="AO179" s="112"/>
      <c r="AP179" s="133"/>
      <c r="AQ179" s="112"/>
      <c r="AR179" s="133"/>
    </row>
    <row r="180" spans="1:44" s="176" customFormat="1" x14ac:dyDescent="0.2">
      <c r="A180" s="178" t="s">
        <v>128</v>
      </c>
      <c r="B180" s="711">
        <f t="shared" ref="B180:AG180" si="761">B178+B179</f>
        <v>0</v>
      </c>
      <c r="C180" s="712">
        <f t="shared" si="761"/>
        <v>61200</v>
      </c>
      <c r="D180" s="712">
        <f t="shared" si="761"/>
        <v>0</v>
      </c>
      <c r="E180" s="712">
        <f t="shared" si="761"/>
        <v>0</v>
      </c>
      <c r="F180" s="712">
        <f t="shared" si="761"/>
        <v>0</v>
      </c>
      <c r="G180" s="712">
        <f t="shared" si="761"/>
        <v>0</v>
      </c>
      <c r="H180" s="712">
        <f t="shared" si="761"/>
        <v>0</v>
      </c>
      <c r="I180" s="712">
        <f t="shared" si="761"/>
        <v>0</v>
      </c>
      <c r="J180" s="712">
        <f t="shared" si="761"/>
        <v>0</v>
      </c>
      <c r="K180" s="712">
        <f t="shared" si="761"/>
        <v>0</v>
      </c>
      <c r="L180" s="712">
        <f t="shared" si="761"/>
        <v>0</v>
      </c>
      <c r="M180" s="712">
        <f t="shared" si="761"/>
        <v>0</v>
      </c>
      <c r="N180" s="712">
        <f t="shared" si="761"/>
        <v>0</v>
      </c>
      <c r="O180" s="712">
        <f t="shared" si="761"/>
        <v>0</v>
      </c>
      <c r="P180" s="712">
        <f t="shared" si="761"/>
        <v>0</v>
      </c>
      <c r="Q180" s="712">
        <f t="shared" si="761"/>
        <v>0</v>
      </c>
      <c r="R180" s="712">
        <f t="shared" si="761"/>
        <v>0</v>
      </c>
      <c r="S180" s="712">
        <f t="shared" si="761"/>
        <v>0</v>
      </c>
      <c r="T180" s="712">
        <f t="shared" si="761"/>
        <v>0</v>
      </c>
      <c r="U180" s="712">
        <f t="shared" si="761"/>
        <v>0</v>
      </c>
      <c r="V180" s="712">
        <f t="shared" si="761"/>
        <v>0</v>
      </c>
      <c r="W180" s="712">
        <f t="shared" si="761"/>
        <v>0</v>
      </c>
      <c r="X180" s="712">
        <f t="shared" si="761"/>
        <v>0</v>
      </c>
      <c r="Y180" s="712">
        <f t="shared" si="761"/>
        <v>0</v>
      </c>
      <c r="Z180" s="712">
        <f t="shared" si="761"/>
        <v>0</v>
      </c>
      <c r="AA180" s="712">
        <f t="shared" si="761"/>
        <v>0</v>
      </c>
      <c r="AB180" s="712">
        <f t="shared" si="761"/>
        <v>0</v>
      </c>
      <c r="AC180" s="712">
        <f t="shared" si="761"/>
        <v>0</v>
      </c>
      <c r="AD180" s="712">
        <f t="shared" si="761"/>
        <v>0</v>
      </c>
      <c r="AE180" s="712">
        <f t="shared" si="761"/>
        <v>0</v>
      </c>
      <c r="AF180" s="712">
        <f t="shared" si="761"/>
        <v>0</v>
      </c>
      <c r="AG180" s="712">
        <f t="shared" si="761"/>
        <v>0</v>
      </c>
      <c r="AH180" s="712">
        <f>AH178+AH179</f>
        <v>0</v>
      </c>
      <c r="AI180" s="712">
        <f>AI178+AI179</f>
        <v>0</v>
      </c>
      <c r="AJ180" s="177"/>
      <c r="AL180" s="113"/>
      <c r="AN180" s="133"/>
      <c r="AO180" s="112"/>
      <c r="AP180" s="133"/>
      <c r="AQ180" s="112"/>
      <c r="AR180" s="133"/>
    </row>
    <row r="181" spans="1:44" s="176" customFormat="1" x14ac:dyDescent="0.2">
      <c r="A181" s="147" t="s">
        <v>129</v>
      </c>
      <c r="B181" s="709">
        <f>SUM('gadu šķirošana'!C19:C21)*'gadu šķirošana'!C79</f>
        <v>0</v>
      </c>
      <c r="C181" s="710">
        <f>SUM('gadu šķirošana'!D19:D21)</f>
        <v>30600</v>
      </c>
      <c r="D181" s="710">
        <f>SUM('gadu šķirošana'!E19:E21)</f>
        <v>0</v>
      </c>
      <c r="E181" s="710">
        <f>SUM('gadu šķirošana'!F19:F21)</f>
        <v>0</v>
      </c>
      <c r="F181" s="710">
        <f>SUM('gadu šķirošana'!G19:G21)</f>
        <v>0</v>
      </c>
      <c r="G181" s="710">
        <f>SUM('gadu šķirošana'!H19:H21)</f>
        <v>0</v>
      </c>
      <c r="H181" s="710">
        <f>SUM('gadu šķirošana'!I19:I21)</f>
        <v>0</v>
      </c>
      <c r="I181" s="710">
        <f>SUM('gadu šķirošana'!J19:J21)</f>
        <v>0</v>
      </c>
      <c r="J181" s="710">
        <f>SUM('gadu šķirošana'!K19:K21)</f>
        <v>0</v>
      </c>
      <c r="K181" s="710">
        <f>SUM('gadu šķirošana'!L19:L21)</f>
        <v>0</v>
      </c>
      <c r="L181" s="710">
        <f>SUM('gadu šķirošana'!M19:M21)</f>
        <v>0</v>
      </c>
      <c r="M181" s="710">
        <f>SUM('gadu šķirošana'!N19:N21)</f>
        <v>0</v>
      </c>
      <c r="N181" s="710">
        <f>SUM('gadu šķirošana'!O19:O21)</f>
        <v>0</v>
      </c>
      <c r="O181" s="710">
        <f>SUM('gadu šķirošana'!P19:P21)</f>
        <v>0</v>
      </c>
      <c r="P181" s="710">
        <f>SUM('gadu šķirošana'!Q19:Q21)</f>
        <v>0</v>
      </c>
      <c r="Q181" s="710">
        <f>SUM('gadu šķirošana'!R19:R21)</f>
        <v>0</v>
      </c>
      <c r="R181" s="710">
        <f>SUM('gadu šķirošana'!S19:S21)</f>
        <v>0</v>
      </c>
      <c r="S181" s="710">
        <f>SUM('gadu šķirošana'!T19:T21)</f>
        <v>0</v>
      </c>
      <c r="T181" s="710">
        <f>SUM('gadu šķirošana'!U19:U21)</f>
        <v>0</v>
      </c>
      <c r="U181" s="710">
        <f>SUM('gadu šķirošana'!V19:V21)</f>
        <v>0</v>
      </c>
      <c r="V181" s="710">
        <f>SUM('gadu šķirošana'!W19:W21)</f>
        <v>0</v>
      </c>
      <c r="W181" s="710">
        <f>SUM('gadu šķirošana'!X19:X21)</f>
        <v>0</v>
      </c>
      <c r="X181" s="710">
        <f>SUM('gadu šķirošana'!Y19:Y21)</f>
        <v>0</v>
      </c>
      <c r="Y181" s="710">
        <f>SUM('gadu šķirošana'!Z19:Z21)</f>
        <v>0</v>
      </c>
      <c r="Z181" s="710">
        <f>SUM('gadu šķirošana'!AA19:AA21)</f>
        <v>0</v>
      </c>
      <c r="AA181" s="710">
        <f>SUM('gadu šķirošana'!AB19:AB21)</f>
        <v>0</v>
      </c>
      <c r="AB181" s="710">
        <f>SUM('gadu šķirošana'!AC19:AC21)</f>
        <v>0</v>
      </c>
      <c r="AC181" s="710">
        <f>SUM('gadu šķirošana'!AD19:AD21)</f>
        <v>0</v>
      </c>
      <c r="AD181" s="710">
        <f>SUM('gadu šķirošana'!AE19:AE21)</f>
        <v>0</v>
      </c>
      <c r="AE181" s="710">
        <f>SUM('gadu šķirošana'!AF19:AF21)</f>
        <v>0</v>
      </c>
      <c r="AF181" s="710">
        <f>SUM('gadu šķirošana'!AG19:AG21)</f>
        <v>0</v>
      </c>
      <c r="AG181" s="710">
        <f>SUM('gadu šķirošana'!AH19:AH21)</f>
        <v>0</v>
      </c>
      <c r="AH181" s="710">
        <f>SUM('gadu šķirošana'!AI19:AI21)</f>
        <v>0</v>
      </c>
      <c r="AI181" s="710">
        <f>SUM('gadu šķirošana'!AJ19:AJ21)</f>
        <v>0</v>
      </c>
      <c r="AJ181" s="177"/>
      <c r="AL181" s="113"/>
      <c r="AN181" s="133"/>
      <c r="AO181" s="112"/>
      <c r="AP181" s="133"/>
      <c r="AQ181" s="112"/>
      <c r="AR181" s="133"/>
    </row>
    <row r="182" spans="1:44" s="176" customFormat="1" x14ac:dyDescent="0.2">
      <c r="A182" s="178" t="s">
        <v>130</v>
      </c>
      <c r="B182" s="711">
        <f>B181</f>
        <v>0</v>
      </c>
      <c r="C182" s="712">
        <f>C181</f>
        <v>30600</v>
      </c>
      <c r="D182" s="712">
        <f t="shared" ref="D182:AH182" si="762">D181</f>
        <v>0</v>
      </c>
      <c r="E182" s="712">
        <f t="shared" si="762"/>
        <v>0</v>
      </c>
      <c r="F182" s="712">
        <f t="shared" si="762"/>
        <v>0</v>
      </c>
      <c r="G182" s="712">
        <f t="shared" si="762"/>
        <v>0</v>
      </c>
      <c r="H182" s="712">
        <f t="shared" si="762"/>
        <v>0</v>
      </c>
      <c r="I182" s="712">
        <f t="shared" si="762"/>
        <v>0</v>
      </c>
      <c r="J182" s="712">
        <f t="shared" si="762"/>
        <v>0</v>
      </c>
      <c r="K182" s="712">
        <f t="shared" si="762"/>
        <v>0</v>
      </c>
      <c r="L182" s="712">
        <f t="shared" si="762"/>
        <v>0</v>
      </c>
      <c r="M182" s="712">
        <f t="shared" si="762"/>
        <v>0</v>
      </c>
      <c r="N182" s="712">
        <f t="shared" si="762"/>
        <v>0</v>
      </c>
      <c r="O182" s="712">
        <f t="shared" si="762"/>
        <v>0</v>
      </c>
      <c r="P182" s="712">
        <f t="shared" si="762"/>
        <v>0</v>
      </c>
      <c r="Q182" s="712">
        <f t="shared" si="762"/>
        <v>0</v>
      </c>
      <c r="R182" s="712">
        <f t="shared" si="762"/>
        <v>0</v>
      </c>
      <c r="S182" s="712">
        <f t="shared" si="762"/>
        <v>0</v>
      </c>
      <c r="T182" s="712">
        <f t="shared" si="762"/>
        <v>0</v>
      </c>
      <c r="U182" s="712">
        <f t="shared" si="762"/>
        <v>0</v>
      </c>
      <c r="V182" s="712">
        <f t="shared" si="762"/>
        <v>0</v>
      </c>
      <c r="W182" s="712">
        <f t="shared" si="762"/>
        <v>0</v>
      </c>
      <c r="X182" s="712">
        <f t="shared" si="762"/>
        <v>0</v>
      </c>
      <c r="Y182" s="712">
        <f t="shared" si="762"/>
        <v>0</v>
      </c>
      <c r="Z182" s="712">
        <f t="shared" si="762"/>
        <v>0</v>
      </c>
      <c r="AA182" s="712">
        <f t="shared" si="762"/>
        <v>0</v>
      </c>
      <c r="AB182" s="712">
        <f t="shared" si="762"/>
        <v>0</v>
      </c>
      <c r="AC182" s="712">
        <f t="shared" si="762"/>
        <v>0</v>
      </c>
      <c r="AD182" s="712">
        <f t="shared" si="762"/>
        <v>0</v>
      </c>
      <c r="AE182" s="712">
        <f t="shared" si="762"/>
        <v>0</v>
      </c>
      <c r="AF182" s="712">
        <f t="shared" si="762"/>
        <v>0</v>
      </c>
      <c r="AG182" s="712">
        <f t="shared" si="762"/>
        <v>0</v>
      </c>
      <c r="AH182" s="712">
        <f t="shared" si="762"/>
        <v>0</v>
      </c>
      <c r="AI182" s="712">
        <f>AI181</f>
        <v>0</v>
      </c>
      <c r="AJ182" s="177"/>
      <c r="AL182" s="113"/>
      <c r="AN182" s="133"/>
      <c r="AO182" s="112"/>
      <c r="AP182" s="133"/>
      <c r="AQ182" s="112"/>
      <c r="AR182" s="133"/>
    </row>
    <row r="183" spans="1:44" s="176" customFormat="1" x14ac:dyDescent="0.2">
      <c r="A183" s="178" t="s">
        <v>131</v>
      </c>
      <c r="B183" s="711">
        <f t="shared" ref="B183:AH183" si="763">B182+B180</f>
        <v>0</v>
      </c>
      <c r="C183" s="712">
        <f t="shared" si="763"/>
        <v>91800</v>
      </c>
      <c r="D183" s="712">
        <f t="shared" si="763"/>
        <v>0</v>
      </c>
      <c r="E183" s="712">
        <f t="shared" si="763"/>
        <v>0</v>
      </c>
      <c r="F183" s="712">
        <f t="shared" si="763"/>
        <v>0</v>
      </c>
      <c r="G183" s="712">
        <f t="shared" si="763"/>
        <v>0</v>
      </c>
      <c r="H183" s="712">
        <f t="shared" si="763"/>
        <v>0</v>
      </c>
      <c r="I183" s="712">
        <f t="shared" si="763"/>
        <v>0</v>
      </c>
      <c r="J183" s="712">
        <f t="shared" si="763"/>
        <v>0</v>
      </c>
      <c r="K183" s="712">
        <f t="shared" si="763"/>
        <v>0</v>
      </c>
      <c r="L183" s="712">
        <f t="shared" si="763"/>
        <v>0</v>
      </c>
      <c r="M183" s="712">
        <f t="shared" si="763"/>
        <v>0</v>
      </c>
      <c r="N183" s="712">
        <f t="shared" si="763"/>
        <v>0</v>
      </c>
      <c r="O183" s="712">
        <f t="shared" si="763"/>
        <v>0</v>
      </c>
      <c r="P183" s="712">
        <f t="shared" si="763"/>
        <v>0</v>
      </c>
      <c r="Q183" s="712">
        <f t="shared" si="763"/>
        <v>0</v>
      </c>
      <c r="R183" s="712">
        <f t="shared" si="763"/>
        <v>0</v>
      </c>
      <c r="S183" s="712">
        <f t="shared" si="763"/>
        <v>0</v>
      </c>
      <c r="T183" s="712">
        <f t="shared" si="763"/>
        <v>0</v>
      </c>
      <c r="U183" s="712">
        <f t="shared" si="763"/>
        <v>0</v>
      </c>
      <c r="V183" s="712">
        <f t="shared" si="763"/>
        <v>0</v>
      </c>
      <c r="W183" s="712">
        <f t="shared" si="763"/>
        <v>0</v>
      </c>
      <c r="X183" s="712">
        <f t="shared" si="763"/>
        <v>0</v>
      </c>
      <c r="Y183" s="712">
        <f t="shared" si="763"/>
        <v>0</v>
      </c>
      <c r="Z183" s="712">
        <f t="shared" si="763"/>
        <v>0</v>
      </c>
      <c r="AA183" s="712">
        <f t="shared" si="763"/>
        <v>0</v>
      </c>
      <c r="AB183" s="712">
        <f t="shared" si="763"/>
        <v>0</v>
      </c>
      <c r="AC183" s="712">
        <f t="shared" si="763"/>
        <v>0</v>
      </c>
      <c r="AD183" s="712">
        <f t="shared" si="763"/>
        <v>0</v>
      </c>
      <c r="AE183" s="712">
        <f t="shared" si="763"/>
        <v>0</v>
      </c>
      <c r="AF183" s="712">
        <f t="shared" si="763"/>
        <v>0</v>
      </c>
      <c r="AG183" s="712">
        <f t="shared" si="763"/>
        <v>0</v>
      </c>
      <c r="AH183" s="712">
        <f t="shared" si="763"/>
        <v>0</v>
      </c>
      <c r="AI183" s="712">
        <f>AI182+AI180</f>
        <v>0</v>
      </c>
      <c r="AJ183" s="177"/>
      <c r="AL183" s="113"/>
      <c r="AN183" s="133"/>
      <c r="AO183" s="112"/>
      <c r="AP183" s="133"/>
      <c r="AQ183" s="112"/>
      <c r="AR183" s="133"/>
    </row>
    <row r="184" spans="1:44" s="176" customFormat="1" x14ac:dyDescent="0.2">
      <c r="A184" s="171"/>
      <c r="B184" s="713"/>
      <c r="C184" s="714"/>
      <c r="D184" s="714"/>
      <c r="E184" s="714"/>
      <c r="F184" s="714"/>
      <c r="G184" s="714"/>
      <c r="H184" s="714"/>
      <c r="I184" s="714"/>
      <c r="J184" s="714"/>
      <c r="K184" s="715"/>
      <c r="L184" s="714"/>
      <c r="M184" s="714"/>
      <c r="N184" s="716"/>
      <c r="O184" s="714"/>
      <c r="P184" s="714"/>
      <c r="Q184" s="714"/>
      <c r="R184" s="714"/>
      <c r="S184" s="714"/>
      <c r="T184" s="714"/>
      <c r="U184" s="717"/>
      <c r="V184" s="717"/>
      <c r="W184" s="714"/>
      <c r="X184" s="714"/>
      <c r="Y184" s="714"/>
      <c r="Z184" s="718"/>
      <c r="AA184" s="718"/>
      <c r="AB184" s="718"/>
      <c r="AC184" s="718"/>
      <c r="AD184" s="718"/>
      <c r="AE184" s="718"/>
      <c r="AF184" s="718"/>
      <c r="AG184" s="718"/>
      <c r="AH184" s="718"/>
      <c r="AI184" s="718"/>
      <c r="AJ184" s="177"/>
      <c r="AL184" s="113"/>
      <c r="AN184" s="133"/>
      <c r="AO184" s="112"/>
      <c r="AP184" s="133"/>
      <c r="AQ184" s="112"/>
      <c r="AR184" s="133"/>
    </row>
    <row r="185" spans="1:44" s="176" customFormat="1" x14ac:dyDescent="0.2">
      <c r="A185" s="173" t="s">
        <v>132</v>
      </c>
      <c r="B185" s="719"/>
      <c r="C185" s="720"/>
      <c r="D185" s="720"/>
      <c r="E185" s="720"/>
      <c r="F185" s="720"/>
      <c r="G185" s="720"/>
      <c r="H185" s="720"/>
      <c r="I185" s="720"/>
      <c r="J185" s="720"/>
      <c r="K185" s="720"/>
      <c r="L185" s="720"/>
      <c r="M185" s="720"/>
      <c r="N185" s="720"/>
      <c r="O185" s="720"/>
      <c r="P185" s="720"/>
      <c r="Q185" s="720"/>
      <c r="R185" s="720"/>
      <c r="S185" s="720"/>
      <c r="T185" s="720"/>
      <c r="U185" s="720"/>
      <c r="V185" s="720"/>
      <c r="W185" s="720"/>
      <c r="X185" s="720"/>
      <c r="Y185" s="720"/>
      <c r="Z185" s="721"/>
      <c r="AA185" s="721"/>
      <c r="AB185" s="721"/>
      <c r="AC185" s="721"/>
      <c r="AD185" s="721"/>
      <c r="AE185" s="721"/>
      <c r="AF185" s="721"/>
      <c r="AG185" s="721"/>
      <c r="AH185" s="721"/>
      <c r="AI185" s="721"/>
      <c r="AJ185" s="177"/>
      <c r="AL185" s="113"/>
      <c r="AN185" s="133"/>
      <c r="AO185" s="112"/>
      <c r="AP185" s="133"/>
      <c r="AQ185" s="112"/>
      <c r="AR185" s="133"/>
    </row>
    <row r="186" spans="1:44" s="176" customFormat="1" x14ac:dyDescent="0.2">
      <c r="A186" s="147" t="s">
        <v>126</v>
      </c>
      <c r="B186" s="709">
        <f>'gadu šķirošana'!C24*'gadu šķirošana'!C$79</f>
        <v>0</v>
      </c>
      <c r="C186" s="710">
        <f>'gadu šķirošana'!D24</f>
        <v>56100</v>
      </c>
      <c r="D186" s="710">
        <f>'gadu šķirošana'!E24</f>
        <v>36400</v>
      </c>
      <c r="E186" s="710">
        <f>'gadu šķirošana'!F24</f>
        <v>0</v>
      </c>
      <c r="F186" s="710">
        <f>'gadu šķirošana'!G24</f>
        <v>0</v>
      </c>
      <c r="G186" s="710">
        <f>'gadu šķirošana'!H24</f>
        <v>0</v>
      </c>
      <c r="H186" s="710">
        <f>'gadu šķirošana'!I24</f>
        <v>0</v>
      </c>
      <c r="I186" s="710">
        <f>'gadu šķirošana'!J24</f>
        <v>0</v>
      </c>
      <c r="J186" s="710">
        <f>'gadu šķirošana'!K24</f>
        <v>0</v>
      </c>
      <c r="K186" s="710">
        <f>'gadu šķirošana'!L24</f>
        <v>0</v>
      </c>
      <c r="L186" s="710">
        <f>'gadu šķirošana'!M24</f>
        <v>0</v>
      </c>
      <c r="M186" s="710">
        <f>'gadu šķirošana'!N24</f>
        <v>0</v>
      </c>
      <c r="N186" s="710">
        <f>'gadu šķirošana'!O24</f>
        <v>0</v>
      </c>
      <c r="O186" s="710">
        <f>'gadu šķirošana'!P24</f>
        <v>0</v>
      </c>
      <c r="P186" s="710">
        <f>'gadu šķirošana'!Q24</f>
        <v>0</v>
      </c>
      <c r="Q186" s="710">
        <f>'gadu šķirošana'!R24</f>
        <v>0</v>
      </c>
      <c r="R186" s="710">
        <f>'gadu šķirošana'!S24</f>
        <v>0</v>
      </c>
      <c r="S186" s="710">
        <f>'gadu šķirošana'!T24</f>
        <v>0</v>
      </c>
      <c r="T186" s="710">
        <f>'gadu šķirošana'!U24</f>
        <v>0</v>
      </c>
      <c r="U186" s="710">
        <f>'gadu šķirošana'!V24</f>
        <v>0</v>
      </c>
      <c r="V186" s="710">
        <f>'gadu šķirošana'!W24</f>
        <v>0</v>
      </c>
      <c r="W186" s="710">
        <f>'gadu šķirošana'!X24</f>
        <v>0</v>
      </c>
      <c r="X186" s="710">
        <f>'gadu šķirošana'!Y24</f>
        <v>0</v>
      </c>
      <c r="Y186" s="710">
        <f>'gadu šķirošana'!Z24</f>
        <v>0</v>
      </c>
      <c r="Z186" s="710">
        <f>'gadu šķirošana'!AA24</f>
        <v>0</v>
      </c>
      <c r="AA186" s="710">
        <f>'gadu šķirošana'!AB24</f>
        <v>0</v>
      </c>
      <c r="AB186" s="710">
        <f>'gadu šķirošana'!AC24</f>
        <v>0</v>
      </c>
      <c r="AC186" s="710">
        <f>'gadu šķirošana'!AD24</f>
        <v>0</v>
      </c>
      <c r="AD186" s="710">
        <f>'gadu šķirošana'!AE24</f>
        <v>0</v>
      </c>
      <c r="AE186" s="710">
        <f>'gadu šķirošana'!AF24</f>
        <v>0</v>
      </c>
      <c r="AF186" s="710">
        <f>'gadu šķirošana'!AG24</f>
        <v>0</v>
      </c>
      <c r="AG186" s="710">
        <f>'gadu šķirošana'!AH24</f>
        <v>0</v>
      </c>
      <c r="AH186" s="710">
        <f>'gadu šķirošana'!AI24</f>
        <v>0</v>
      </c>
      <c r="AI186" s="710">
        <f>'gadu šķirošana'!AJ24</f>
        <v>0</v>
      </c>
      <c r="AJ186" s="177"/>
      <c r="AL186" s="113"/>
      <c r="AN186" s="133"/>
      <c r="AO186" s="112"/>
      <c r="AP186" s="133"/>
      <c r="AQ186" s="112"/>
      <c r="AR186" s="133"/>
    </row>
    <row r="187" spans="1:44" s="176" customFormat="1" x14ac:dyDescent="0.2">
      <c r="A187" s="147" t="s">
        <v>127</v>
      </c>
      <c r="B187" s="709">
        <f>'gadu šķirošana'!C25*'gadu šķirošana'!C$79</f>
        <v>0</v>
      </c>
      <c r="C187" s="710">
        <f>'gadu šķirošana'!D25</f>
        <v>30600</v>
      </c>
      <c r="D187" s="710">
        <f>'gadu šķirošana'!E25</f>
        <v>0</v>
      </c>
      <c r="E187" s="710">
        <f>'gadu šķirošana'!F25</f>
        <v>0</v>
      </c>
      <c r="F187" s="710">
        <f>'gadu šķirošana'!G25</f>
        <v>0</v>
      </c>
      <c r="G187" s="710">
        <f>'gadu šķirošana'!H25</f>
        <v>0</v>
      </c>
      <c r="H187" s="710">
        <f>'gadu šķirošana'!I25</f>
        <v>0</v>
      </c>
      <c r="I187" s="710">
        <f>'gadu šķirošana'!J25</f>
        <v>0</v>
      </c>
      <c r="J187" s="710">
        <f>'gadu šķirošana'!K25</f>
        <v>0</v>
      </c>
      <c r="K187" s="710">
        <f>'gadu šķirošana'!L25</f>
        <v>0</v>
      </c>
      <c r="L187" s="710">
        <f>'gadu šķirošana'!M25</f>
        <v>0</v>
      </c>
      <c r="M187" s="710">
        <f>'gadu šķirošana'!N25</f>
        <v>0</v>
      </c>
      <c r="N187" s="710">
        <f>'gadu šķirošana'!O25</f>
        <v>0</v>
      </c>
      <c r="O187" s="710">
        <f>'gadu šķirošana'!P25</f>
        <v>0</v>
      </c>
      <c r="P187" s="710">
        <f>'gadu šķirošana'!Q25</f>
        <v>0</v>
      </c>
      <c r="Q187" s="710">
        <f>'gadu šķirošana'!R25</f>
        <v>0</v>
      </c>
      <c r="R187" s="710">
        <f>'gadu šķirošana'!S25</f>
        <v>0</v>
      </c>
      <c r="S187" s="710">
        <f>'gadu šķirošana'!T25</f>
        <v>0</v>
      </c>
      <c r="T187" s="710">
        <f>'gadu šķirošana'!U25</f>
        <v>0</v>
      </c>
      <c r="U187" s="710">
        <f>'gadu šķirošana'!V25</f>
        <v>0</v>
      </c>
      <c r="V187" s="710">
        <f>'gadu šķirošana'!W25</f>
        <v>0</v>
      </c>
      <c r="W187" s="710">
        <f>'gadu šķirošana'!X25</f>
        <v>0</v>
      </c>
      <c r="X187" s="710">
        <f>'gadu šķirošana'!Y25</f>
        <v>0</v>
      </c>
      <c r="Y187" s="710">
        <f>'gadu šķirošana'!Z25</f>
        <v>0</v>
      </c>
      <c r="Z187" s="710">
        <f>'gadu šķirošana'!AA25</f>
        <v>0</v>
      </c>
      <c r="AA187" s="710">
        <f>'gadu šķirošana'!AB25</f>
        <v>0</v>
      </c>
      <c r="AB187" s="710">
        <f>'gadu šķirošana'!AC25</f>
        <v>0</v>
      </c>
      <c r="AC187" s="710">
        <f>'gadu šķirošana'!AD25</f>
        <v>0</v>
      </c>
      <c r="AD187" s="710">
        <f>'gadu šķirošana'!AE25</f>
        <v>0</v>
      </c>
      <c r="AE187" s="710">
        <f>'gadu šķirošana'!AF25</f>
        <v>0</v>
      </c>
      <c r="AF187" s="710">
        <f>'gadu šķirošana'!AG25</f>
        <v>0</v>
      </c>
      <c r="AG187" s="710">
        <f>'gadu šķirošana'!AH25</f>
        <v>0</v>
      </c>
      <c r="AH187" s="710">
        <f>'gadu šķirošana'!AI25</f>
        <v>0</v>
      </c>
      <c r="AI187" s="710">
        <f>'gadu šķirošana'!AJ25</f>
        <v>0</v>
      </c>
      <c r="AJ187" s="177"/>
      <c r="AL187" s="113"/>
      <c r="AN187" s="133"/>
      <c r="AO187" s="112"/>
      <c r="AP187" s="133"/>
      <c r="AQ187" s="112"/>
      <c r="AR187" s="133"/>
    </row>
    <row r="188" spans="1:44" s="176" customFormat="1" x14ac:dyDescent="0.2">
      <c r="A188" s="178" t="s">
        <v>128</v>
      </c>
      <c r="B188" s="711">
        <f t="shared" ref="B188:AG188" si="764">SUM(B186:B187)</f>
        <v>0</v>
      </c>
      <c r="C188" s="712">
        <f t="shared" si="764"/>
        <v>86700</v>
      </c>
      <c r="D188" s="712">
        <f t="shared" si="764"/>
        <v>36400</v>
      </c>
      <c r="E188" s="712">
        <f t="shared" si="764"/>
        <v>0</v>
      </c>
      <c r="F188" s="712">
        <f t="shared" si="764"/>
        <v>0</v>
      </c>
      <c r="G188" s="712">
        <f t="shared" si="764"/>
        <v>0</v>
      </c>
      <c r="H188" s="712">
        <f t="shared" si="764"/>
        <v>0</v>
      </c>
      <c r="I188" s="712">
        <f t="shared" si="764"/>
        <v>0</v>
      </c>
      <c r="J188" s="712">
        <f t="shared" si="764"/>
        <v>0</v>
      </c>
      <c r="K188" s="712">
        <f t="shared" si="764"/>
        <v>0</v>
      </c>
      <c r="L188" s="712">
        <f t="shared" si="764"/>
        <v>0</v>
      </c>
      <c r="M188" s="712">
        <f t="shared" si="764"/>
        <v>0</v>
      </c>
      <c r="N188" s="712">
        <f t="shared" si="764"/>
        <v>0</v>
      </c>
      <c r="O188" s="712">
        <f t="shared" si="764"/>
        <v>0</v>
      </c>
      <c r="P188" s="712">
        <f t="shared" si="764"/>
        <v>0</v>
      </c>
      <c r="Q188" s="712">
        <f t="shared" si="764"/>
        <v>0</v>
      </c>
      <c r="R188" s="712">
        <f t="shared" si="764"/>
        <v>0</v>
      </c>
      <c r="S188" s="712">
        <f t="shared" si="764"/>
        <v>0</v>
      </c>
      <c r="T188" s="712">
        <f t="shared" si="764"/>
        <v>0</v>
      </c>
      <c r="U188" s="712">
        <f t="shared" si="764"/>
        <v>0</v>
      </c>
      <c r="V188" s="712">
        <f t="shared" si="764"/>
        <v>0</v>
      </c>
      <c r="W188" s="712">
        <f t="shared" si="764"/>
        <v>0</v>
      </c>
      <c r="X188" s="712">
        <f t="shared" si="764"/>
        <v>0</v>
      </c>
      <c r="Y188" s="712">
        <f t="shared" si="764"/>
        <v>0</v>
      </c>
      <c r="Z188" s="712">
        <f t="shared" si="764"/>
        <v>0</v>
      </c>
      <c r="AA188" s="712">
        <f t="shared" si="764"/>
        <v>0</v>
      </c>
      <c r="AB188" s="712">
        <f t="shared" si="764"/>
        <v>0</v>
      </c>
      <c r="AC188" s="712">
        <f t="shared" si="764"/>
        <v>0</v>
      </c>
      <c r="AD188" s="712">
        <f t="shared" si="764"/>
        <v>0</v>
      </c>
      <c r="AE188" s="712">
        <f t="shared" si="764"/>
        <v>0</v>
      </c>
      <c r="AF188" s="712">
        <f t="shared" si="764"/>
        <v>0</v>
      </c>
      <c r="AG188" s="712">
        <f t="shared" si="764"/>
        <v>0</v>
      </c>
      <c r="AH188" s="712">
        <f>SUM(AH186:AH187)</f>
        <v>0</v>
      </c>
      <c r="AI188" s="712">
        <f>SUM(AI186:AI187)</f>
        <v>0</v>
      </c>
      <c r="AJ188" s="177"/>
      <c r="AL188" s="113"/>
      <c r="AN188" s="133"/>
      <c r="AO188" s="112"/>
      <c r="AP188" s="133"/>
      <c r="AQ188" s="112"/>
      <c r="AR188" s="133"/>
    </row>
    <row r="189" spans="1:44" s="176" customFormat="1" x14ac:dyDescent="0.2">
      <c r="A189" s="147" t="s">
        <v>129</v>
      </c>
      <c r="B189" s="709">
        <f>SUM('gadu šķirošana'!C26:C28)*'gadu šķirošana'!C79</f>
        <v>0</v>
      </c>
      <c r="C189" s="710">
        <f>SUM('gadu šķirošana'!D26:D28)</f>
        <v>68085</v>
      </c>
      <c r="D189" s="710">
        <f>SUM('gadu šķirošana'!E26:E28)</f>
        <v>0</v>
      </c>
      <c r="E189" s="710">
        <f>SUM('gadu šķirošana'!F26:F28)</f>
        <v>0</v>
      </c>
      <c r="F189" s="710">
        <f>SUM('gadu šķirošana'!G26:G28)</f>
        <v>0</v>
      </c>
      <c r="G189" s="710">
        <f>SUM('gadu šķirošana'!H26:H28)</f>
        <v>0</v>
      </c>
      <c r="H189" s="710">
        <f>SUM('gadu šķirošana'!I26:I28)</f>
        <v>0</v>
      </c>
      <c r="I189" s="710">
        <f>SUM('gadu šķirošana'!J26:J28)</f>
        <v>0</v>
      </c>
      <c r="J189" s="710">
        <f>SUM('gadu šķirošana'!K26:K28)</f>
        <v>0</v>
      </c>
      <c r="K189" s="710">
        <f>SUM('gadu šķirošana'!L26:L28)</f>
        <v>0</v>
      </c>
      <c r="L189" s="710">
        <f>SUM('gadu šķirošana'!M26:M28)</f>
        <v>0</v>
      </c>
      <c r="M189" s="710">
        <f>SUM('gadu šķirošana'!N26:N28)</f>
        <v>0</v>
      </c>
      <c r="N189" s="710">
        <f>SUM('gadu šķirošana'!O26:O28)</f>
        <v>0</v>
      </c>
      <c r="O189" s="710">
        <f>SUM('gadu šķirošana'!P26:P28)</f>
        <v>0</v>
      </c>
      <c r="P189" s="710">
        <f>SUM('gadu šķirošana'!Q26:Q28)</f>
        <v>0</v>
      </c>
      <c r="Q189" s="710">
        <f>SUM('gadu šķirošana'!R26:R28)</f>
        <v>0</v>
      </c>
      <c r="R189" s="710">
        <f>SUM('gadu šķirošana'!S26:S28)</f>
        <v>0</v>
      </c>
      <c r="S189" s="710">
        <f>SUM('gadu šķirošana'!T26:T28)</f>
        <v>0</v>
      </c>
      <c r="T189" s="710">
        <f>SUM('gadu šķirošana'!U26:U28)</f>
        <v>0</v>
      </c>
      <c r="U189" s="710">
        <f>SUM('gadu šķirošana'!V26:V28)</f>
        <v>0</v>
      </c>
      <c r="V189" s="710">
        <f>SUM('gadu šķirošana'!W26:W28)</f>
        <v>0</v>
      </c>
      <c r="W189" s="710">
        <f>SUM('gadu šķirošana'!X26:X28)</f>
        <v>0</v>
      </c>
      <c r="X189" s="710">
        <f>SUM('gadu šķirošana'!Y26:Y28)</f>
        <v>0</v>
      </c>
      <c r="Y189" s="710">
        <f>SUM('gadu šķirošana'!Z26:Z28)</f>
        <v>0</v>
      </c>
      <c r="Z189" s="710">
        <f>SUM('gadu šķirošana'!AA26:AA28)</f>
        <v>0</v>
      </c>
      <c r="AA189" s="710">
        <f>SUM('gadu šķirošana'!AB26:AB28)</f>
        <v>0</v>
      </c>
      <c r="AB189" s="710">
        <f>SUM('gadu šķirošana'!AC26:AC28)</f>
        <v>0</v>
      </c>
      <c r="AC189" s="710">
        <f>SUM('gadu šķirošana'!AD26:AD28)</f>
        <v>0</v>
      </c>
      <c r="AD189" s="710">
        <f>SUM('gadu šķirošana'!AE26:AE28)</f>
        <v>0</v>
      </c>
      <c r="AE189" s="710">
        <f>SUM('gadu šķirošana'!AF26:AF28)</f>
        <v>0</v>
      </c>
      <c r="AF189" s="710">
        <f>SUM('gadu šķirošana'!AG26:AG28)</f>
        <v>0</v>
      </c>
      <c r="AG189" s="710">
        <f>SUM('gadu šķirošana'!AH26:AH28)</f>
        <v>0</v>
      </c>
      <c r="AH189" s="710">
        <f>SUM('gadu šķirošana'!AI26:AI28)</f>
        <v>0</v>
      </c>
      <c r="AI189" s="710">
        <f>SUM('gadu šķirošana'!AJ26:AJ28)</f>
        <v>0</v>
      </c>
      <c r="AJ189" s="177"/>
      <c r="AL189" s="113"/>
      <c r="AN189" s="133"/>
      <c r="AO189" s="112"/>
      <c r="AP189" s="133"/>
      <c r="AQ189" s="112"/>
      <c r="AR189" s="133"/>
    </row>
    <row r="190" spans="1:44" s="176" customFormat="1" x14ac:dyDescent="0.2">
      <c r="A190" s="178" t="s">
        <v>130</v>
      </c>
      <c r="B190" s="711">
        <f t="shared" ref="B190:AH190" si="765">SUM(B189:B189)</f>
        <v>0</v>
      </c>
      <c r="C190" s="722">
        <f t="shared" si="765"/>
        <v>68085</v>
      </c>
      <c r="D190" s="722">
        <f t="shared" si="765"/>
        <v>0</v>
      </c>
      <c r="E190" s="722">
        <f t="shared" si="765"/>
        <v>0</v>
      </c>
      <c r="F190" s="722">
        <f t="shared" si="765"/>
        <v>0</v>
      </c>
      <c r="G190" s="711">
        <f t="shared" si="765"/>
        <v>0</v>
      </c>
      <c r="H190" s="711">
        <f t="shared" si="765"/>
        <v>0</v>
      </c>
      <c r="I190" s="711">
        <f t="shared" si="765"/>
        <v>0</v>
      </c>
      <c r="J190" s="711">
        <f t="shared" si="765"/>
        <v>0</v>
      </c>
      <c r="K190" s="711">
        <f t="shared" si="765"/>
        <v>0</v>
      </c>
      <c r="L190" s="711">
        <f t="shared" si="765"/>
        <v>0</v>
      </c>
      <c r="M190" s="711">
        <f t="shared" si="765"/>
        <v>0</v>
      </c>
      <c r="N190" s="711">
        <f t="shared" si="765"/>
        <v>0</v>
      </c>
      <c r="O190" s="711">
        <f t="shared" si="765"/>
        <v>0</v>
      </c>
      <c r="P190" s="711">
        <f t="shared" si="765"/>
        <v>0</v>
      </c>
      <c r="Q190" s="711">
        <f t="shared" si="765"/>
        <v>0</v>
      </c>
      <c r="R190" s="711">
        <f t="shared" si="765"/>
        <v>0</v>
      </c>
      <c r="S190" s="711">
        <f t="shared" si="765"/>
        <v>0</v>
      </c>
      <c r="T190" s="711">
        <f t="shared" si="765"/>
        <v>0</v>
      </c>
      <c r="U190" s="711">
        <f t="shared" si="765"/>
        <v>0</v>
      </c>
      <c r="V190" s="711">
        <f t="shared" si="765"/>
        <v>0</v>
      </c>
      <c r="W190" s="711">
        <f t="shared" si="765"/>
        <v>0</v>
      </c>
      <c r="X190" s="711">
        <f t="shared" si="765"/>
        <v>0</v>
      </c>
      <c r="Y190" s="711">
        <f t="shared" si="765"/>
        <v>0</v>
      </c>
      <c r="Z190" s="711">
        <f t="shared" si="765"/>
        <v>0</v>
      </c>
      <c r="AA190" s="711">
        <f t="shared" si="765"/>
        <v>0</v>
      </c>
      <c r="AB190" s="711">
        <f t="shared" si="765"/>
        <v>0</v>
      </c>
      <c r="AC190" s="711">
        <f t="shared" si="765"/>
        <v>0</v>
      </c>
      <c r="AD190" s="711">
        <f t="shared" si="765"/>
        <v>0</v>
      </c>
      <c r="AE190" s="711">
        <f t="shared" si="765"/>
        <v>0</v>
      </c>
      <c r="AF190" s="711">
        <f t="shared" si="765"/>
        <v>0</v>
      </c>
      <c r="AG190" s="711">
        <f t="shared" si="765"/>
        <v>0</v>
      </c>
      <c r="AH190" s="711">
        <f t="shared" si="765"/>
        <v>0</v>
      </c>
      <c r="AI190" s="711">
        <f>SUM(AI189:AI189)</f>
        <v>0</v>
      </c>
      <c r="AL190" s="113"/>
      <c r="AN190" s="133"/>
      <c r="AO190" s="112"/>
      <c r="AP190" s="133"/>
      <c r="AQ190" s="112"/>
      <c r="AR190" s="133"/>
    </row>
    <row r="191" spans="1:44" s="176" customFormat="1" x14ac:dyDescent="0.2">
      <c r="A191" s="178" t="s">
        <v>131</v>
      </c>
      <c r="B191" s="711">
        <f t="shared" ref="B191:AH191" si="766">B188+B190</f>
        <v>0</v>
      </c>
      <c r="C191" s="722">
        <f t="shared" si="766"/>
        <v>154785</v>
      </c>
      <c r="D191" s="722">
        <f t="shared" si="766"/>
        <v>36400</v>
      </c>
      <c r="E191" s="722">
        <f t="shared" si="766"/>
        <v>0</v>
      </c>
      <c r="F191" s="722">
        <f t="shared" si="766"/>
        <v>0</v>
      </c>
      <c r="G191" s="711">
        <f t="shared" si="766"/>
        <v>0</v>
      </c>
      <c r="H191" s="711">
        <f t="shared" si="766"/>
        <v>0</v>
      </c>
      <c r="I191" s="711">
        <f t="shared" si="766"/>
        <v>0</v>
      </c>
      <c r="J191" s="711">
        <f t="shared" si="766"/>
        <v>0</v>
      </c>
      <c r="K191" s="711">
        <f t="shared" si="766"/>
        <v>0</v>
      </c>
      <c r="L191" s="711">
        <f t="shared" si="766"/>
        <v>0</v>
      </c>
      <c r="M191" s="711">
        <f t="shared" si="766"/>
        <v>0</v>
      </c>
      <c r="N191" s="711">
        <f t="shared" si="766"/>
        <v>0</v>
      </c>
      <c r="O191" s="711">
        <f t="shared" si="766"/>
        <v>0</v>
      </c>
      <c r="P191" s="711">
        <f t="shared" si="766"/>
        <v>0</v>
      </c>
      <c r="Q191" s="711">
        <f t="shared" si="766"/>
        <v>0</v>
      </c>
      <c r="R191" s="711">
        <f t="shared" si="766"/>
        <v>0</v>
      </c>
      <c r="S191" s="711">
        <f t="shared" si="766"/>
        <v>0</v>
      </c>
      <c r="T191" s="711">
        <f t="shared" si="766"/>
        <v>0</v>
      </c>
      <c r="U191" s="711">
        <f t="shared" si="766"/>
        <v>0</v>
      </c>
      <c r="V191" s="711">
        <f t="shared" si="766"/>
        <v>0</v>
      </c>
      <c r="W191" s="711">
        <f t="shared" si="766"/>
        <v>0</v>
      </c>
      <c r="X191" s="711">
        <f t="shared" si="766"/>
        <v>0</v>
      </c>
      <c r="Y191" s="711">
        <f t="shared" si="766"/>
        <v>0</v>
      </c>
      <c r="Z191" s="711">
        <f t="shared" si="766"/>
        <v>0</v>
      </c>
      <c r="AA191" s="711">
        <f t="shared" si="766"/>
        <v>0</v>
      </c>
      <c r="AB191" s="711">
        <f t="shared" si="766"/>
        <v>0</v>
      </c>
      <c r="AC191" s="711">
        <f t="shared" si="766"/>
        <v>0</v>
      </c>
      <c r="AD191" s="711">
        <f t="shared" si="766"/>
        <v>0</v>
      </c>
      <c r="AE191" s="711">
        <f t="shared" si="766"/>
        <v>0</v>
      </c>
      <c r="AF191" s="711">
        <f t="shared" si="766"/>
        <v>0</v>
      </c>
      <c r="AG191" s="711">
        <f t="shared" si="766"/>
        <v>0</v>
      </c>
      <c r="AH191" s="711">
        <f t="shared" si="766"/>
        <v>0</v>
      </c>
      <c r="AI191" s="711">
        <f>AI188+AI190</f>
        <v>0</v>
      </c>
      <c r="AL191" s="113"/>
      <c r="AN191" s="133"/>
      <c r="AO191" s="112"/>
      <c r="AP191" s="133"/>
      <c r="AQ191" s="112"/>
      <c r="AR191" s="133"/>
    </row>
    <row r="192" spans="1:44" s="176" customFormat="1" x14ac:dyDescent="0.2">
      <c r="A192" s="171"/>
      <c r="B192" s="713"/>
      <c r="C192" s="723"/>
      <c r="D192" s="723"/>
      <c r="E192" s="723"/>
      <c r="F192" s="723"/>
      <c r="G192" s="713"/>
      <c r="H192" s="713"/>
      <c r="I192" s="713"/>
      <c r="J192" s="713"/>
      <c r="K192" s="724"/>
      <c r="L192" s="713"/>
      <c r="M192" s="713"/>
      <c r="N192" s="725"/>
      <c r="O192" s="713"/>
      <c r="P192" s="713"/>
      <c r="Q192" s="713"/>
      <c r="R192" s="713"/>
      <c r="S192" s="713"/>
      <c r="T192" s="713"/>
      <c r="U192" s="726"/>
      <c r="V192" s="726"/>
      <c r="W192" s="713"/>
      <c r="X192" s="713"/>
      <c r="Y192" s="713"/>
      <c r="Z192" s="727"/>
      <c r="AA192" s="727"/>
      <c r="AB192" s="727"/>
      <c r="AC192" s="727"/>
      <c r="AD192" s="727"/>
      <c r="AE192" s="727"/>
      <c r="AF192" s="727"/>
      <c r="AG192" s="727"/>
      <c r="AH192" s="727"/>
      <c r="AI192" s="727"/>
      <c r="AL192" s="113"/>
      <c r="AN192" s="133"/>
      <c r="AO192" s="112"/>
      <c r="AP192" s="133"/>
      <c r="AQ192" s="112"/>
      <c r="AR192" s="133"/>
    </row>
    <row r="193" spans="1:44" s="136" customFormat="1" x14ac:dyDescent="0.2">
      <c r="A193" s="173" t="s">
        <v>44</v>
      </c>
      <c r="B193" s="719"/>
      <c r="C193" s="728"/>
      <c r="D193" s="728"/>
      <c r="E193" s="728"/>
      <c r="F193" s="728"/>
      <c r="G193" s="719"/>
      <c r="H193" s="719"/>
      <c r="I193" s="719"/>
      <c r="J193" s="719"/>
      <c r="K193" s="719"/>
      <c r="L193" s="719"/>
      <c r="M193" s="719"/>
      <c r="N193" s="719"/>
      <c r="O193" s="719"/>
      <c r="P193" s="719"/>
      <c r="Q193" s="719"/>
      <c r="R193" s="719"/>
      <c r="S193" s="719"/>
      <c r="T193" s="719"/>
      <c r="U193" s="719"/>
      <c r="V193" s="719"/>
      <c r="W193" s="719"/>
      <c r="X193" s="719"/>
      <c r="Y193" s="719"/>
      <c r="Z193" s="729"/>
      <c r="AA193" s="729"/>
      <c r="AB193" s="729"/>
      <c r="AC193" s="729"/>
      <c r="AD193" s="729"/>
      <c r="AE193" s="729"/>
      <c r="AF193" s="729"/>
      <c r="AG193" s="729"/>
      <c r="AH193" s="729"/>
      <c r="AI193" s="729"/>
      <c r="AL193" s="113"/>
      <c r="AN193" s="133"/>
      <c r="AO193" s="112"/>
      <c r="AP193" s="133"/>
      <c r="AQ193" s="112"/>
      <c r="AR193" s="133"/>
    </row>
    <row r="194" spans="1:44" s="136" customFormat="1" x14ac:dyDescent="0.2">
      <c r="A194" s="147" t="s">
        <v>126</v>
      </c>
      <c r="B194" s="730">
        <f t="shared" ref="B194:AH194" si="767">B178+B186</f>
        <v>0</v>
      </c>
      <c r="C194" s="731">
        <f t="shared" si="767"/>
        <v>86700</v>
      </c>
      <c r="D194" s="731">
        <f t="shared" si="767"/>
        <v>36400</v>
      </c>
      <c r="E194" s="731">
        <f t="shared" si="767"/>
        <v>0</v>
      </c>
      <c r="F194" s="731">
        <f t="shared" si="767"/>
        <v>0</v>
      </c>
      <c r="G194" s="730">
        <f t="shared" si="767"/>
        <v>0</v>
      </c>
      <c r="H194" s="730">
        <f t="shared" si="767"/>
        <v>0</v>
      </c>
      <c r="I194" s="730">
        <f t="shared" si="767"/>
        <v>0</v>
      </c>
      <c r="J194" s="730">
        <f t="shared" si="767"/>
        <v>0</v>
      </c>
      <c r="K194" s="730">
        <f t="shared" si="767"/>
        <v>0</v>
      </c>
      <c r="L194" s="730">
        <f t="shared" si="767"/>
        <v>0</v>
      </c>
      <c r="M194" s="730">
        <f t="shared" si="767"/>
        <v>0</v>
      </c>
      <c r="N194" s="730">
        <f t="shared" si="767"/>
        <v>0</v>
      </c>
      <c r="O194" s="730">
        <f t="shared" si="767"/>
        <v>0</v>
      </c>
      <c r="P194" s="730">
        <f t="shared" si="767"/>
        <v>0</v>
      </c>
      <c r="Q194" s="730">
        <f t="shared" si="767"/>
        <v>0</v>
      </c>
      <c r="R194" s="730">
        <f t="shared" si="767"/>
        <v>0</v>
      </c>
      <c r="S194" s="730">
        <f t="shared" si="767"/>
        <v>0</v>
      </c>
      <c r="T194" s="730">
        <f t="shared" si="767"/>
        <v>0</v>
      </c>
      <c r="U194" s="730">
        <f t="shared" si="767"/>
        <v>0</v>
      </c>
      <c r="V194" s="730">
        <f t="shared" si="767"/>
        <v>0</v>
      </c>
      <c r="W194" s="730">
        <f t="shared" si="767"/>
        <v>0</v>
      </c>
      <c r="X194" s="730">
        <f t="shared" si="767"/>
        <v>0</v>
      </c>
      <c r="Y194" s="730">
        <f t="shared" si="767"/>
        <v>0</v>
      </c>
      <c r="Z194" s="730">
        <f t="shared" si="767"/>
        <v>0</v>
      </c>
      <c r="AA194" s="730">
        <f t="shared" si="767"/>
        <v>0</v>
      </c>
      <c r="AB194" s="730">
        <f t="shared" si="767"/>
        <v>0</v>
      </c>
      <c r="AC194" s="730">
        <f t="shared" si="767"/>
        <v>0</v>
      </c>
      <c r="AD194" s="730">
        <f t="shared" si="767"/>
        <v>0</v>
      </c>
      <c r="AE194" s="730">
        <f t="shared" si="767"/>
        <v>0</v>
      </c>
      <c r="AF194" s="730">
        <f t="shared" si="767"/>
        <v>0</v>
      </c>
      <c r="AG194" s="730">
        <f t="shared" si="767"/>
        <v>0</v>
      </c>
      <c r="AH194" s="730">
        <f t="shared" si="767"/>
        <v>0</v>
      </c>
      <c r="AI194" s="730">
        <f>AI178+AI186</f>
        <v>0</v>
      </c>
      <c r="AL194" s="113"/>
      <c r="AN194" s="133"/>
      <c r="AO194" s="112"/>
      <c r="AP194" s="133"/>
      <c r="AQ194" s="112"/>
      <c r="AR194" s="133"/>
    </row>
    <row r="195" spans="1:44" s="136" customFormat="1" x14ac:dyDescent="0.2">
      <c r="A195" s="147" t="s">
        <v>127</v>
      </c>
      <c r="B195" s="730">
        <f t="shared" ref="B195:AH195" si="768">B179+B187</f>
        <v>0</v>
      </c>
      <c r="C195" s="731">
        <f t="shared" si="768"/>
        <v>61200</v>
      </c>
      <c r="D195" s="731">
        <f t="shared" si="768"/>
        <v>0</v>
      </c>
      <c r="E195" s="731">
        <f t="shared" si="768"/>
        <v>0</v>
      </c>
      <c r="F195" s="731">
        <f t="shared" si="768"/>
        <v>0</v>
      </c>
      <c r="G195" s="730">
        <f t="shared" si="768"/>
        <v>0</v>
      </c>
      <c r="H195" s="730">
        <f t="shared" si="768"/>
        <v>0</v>
      </c>
      <c r="I195" s="730">
        <f t="shared" si="768"/>
        <v>0</v>
      </c>
      <c r="J195" s="730">
        <f t="shared" si="768"/>
        <v>0</v>
      </c>
      <c r="K195" s="730">
        <f t="shared" si="768"/>
        <v>0</v>
      </c>
      <c r="L195" s="730">
        <f t="shared" si="768"/>
        <v>0</v>
      </c>
      <c r="M195" s="730">
        <f t="shared" si="768"/>
        <v>0</v>
      </c>
      <c r="N195" s="730">
        <f t="shared" si="768"/>
        <v>0</v>
      </c>
      <c r="O195" s="730">
        <f t="shared" si="768"/>
        <v>0</v>
      </c>
      <c r="P195" s="730">
        <f t="shared" si="768"/>
        <v>0</v>
      </c>
      <c r="Q195" s="730">
        <f t="shared" si="768"/>
        <v>0</v>
      </c>
      <c r="R195" s="730">
        <f t="shared" si="768"/>
        <v>0</v>
      </c>
      <c r="S195" s="730">
        <f t="shared" si="768"/>
        <v>0</v>
      </c>
      <c r="T195" s="730">
        <f t="shared" si="768"/>
        <v>0</v>
      </c>
      <c r="U195" s="730">
        <f t="shared" si="768"/>
        <v>0</v>
      </c>
      <c r="V195" s="730">
        <f t="shared" si="768"/>
        <v>0</v>
      </c>
      <c r="W195" s="730">
        <f t="shared" si="768"/>
        <v>0</v>
      </c>
      <c r="X195" s="730">
        <f t="shared" si="768"/>
        <v>0</v>
      </c>
      <c r="Y195" s="730">
        <f t="shared" si="768"/>
        <v>0</v>
      </c>
      <c r="Z195" s="730">
        <f t="shared" si="768"/>
        <v>0</v>
      </c>
      <c r="AA195" s="730">
        <f t="shared" si="768"/>
        <v>0</v>
      </c>
      <c r="AB195" s="730">
        <f t="shared" si="768"/>
        <v>0</v>
      </c>
      <c r="AC195" s="730">
        <f t="shared" si="768"/>
        <v>0</v>
      </c>
      <c r="AD195" s="730">
        <f t="shared" si="768"/>
        <v>0</v>
      </c>
      <c r="AE195" s="730">
        <f t="shared" si="768"/>
        <v>0</v>
      </c>
      <c r="AF195" s="730">
        <f t="shared" si="768"/>
        <v>0</v>
      </c>
      <c r="AG195" s="730">
        <f t="shared" si="768"/>
        <v>0</v>
      </c>
      <c r="AH195" s="730">
        <f t="shared" si="768"/>
        <v>0</v>
      </c>
      <c r="AI195" s="730">
        <f>AI179+AI187</f>
        <v>0</v>
      </c>
      <c r="AL195" s="113"/>
      <c r="AN195" s="133"/>
      <c r="AO195" s="112"/>
      <c r="AP195" s="133"/>
      <c r="AQ195" s="112"/>
      <c r="AR195" s="133"/>
    </row>
    <row r="196" spans="1:44" s="136" customFormat="1" x14ac:dyDescent="0.2">
      <c r="A196" s="178" t="s">
        <v>128</v>
      </c>
      <c r="B196" s="711">
        <f t="shared" ref="B196:AG196" si="769">SUM(B194:B195)</f>
        <v>0</v>
      </c>
      <c r="C196" s="722">
        <f t="shared" si="769"/>
        <v>147900</v>
      </c>
      <c r="D196" s="722">
        <f t="shared" si="769"/>
        <v>36400</v>
      </c>
      <c r="E196" s="722">
        <f t="shared" si="769"/>
        <v>0</v>
      </c>
      <c r="F196" s="722">
        <f t="shared" si="769"/>
        <v>0</v>
      </c>
      <c r="G196" s="711">
        <f t="shared" si="769"/>
        <v>0</v>
      </c>
      <c r="H196" s="711">
        <f t="shared" si="769"/>
        <v>0</v>
      </c>
      <c r="I196" s="711">
        <f t="shared" si="769"/>
        <v>0</v>
      </c>
      <c r="J196" s="711">
        <f t="shared" si="769"/>
        <v>0</v>
      </c>
      <c r="K196" s="711">
        <f t="shared" si="769"/>
        <v>0</v>
      </c>
      <c r="L196" s="711">
        <f t="shared" si="769"/>
        <v>0</v>
      </c>
      <c r="M196" s="711">
        <f t="shared" si="769"/>
        <v>0</v>
      </c>
      <c r="N196" s="711">
        <f t="shared" si="769"/>
        <v>0</v>
      </c>
      <c r="O196" s="711">
        <f t="shared" si="769"/>
        <v>0</v>
      </c>
      <c r="P196" s="711">
        <f t="shared" si="769"/>
        <v>0</v>
      </c>
      <c r="Q196" s="711">
        <f t="shared" si="769"/>
        <v>0</v>
      </c>
      <c r="R196" s="711">
        <f t="shared" si="769"/>
        <v>0</v>
      </c>
      <c r="S196" s="711">
        <f t="shared" si="769"/>
        <v>0</v>
      </c>
      <c r="T196" s="711">
        <f t="shared" si="769"/>
        <v>0</v>
      </c>
      <c r="U196" s="711">
        <f t="shared" si="769"/>
        <v>0</v>
      </c>
      <c r="V196" s="711">
        <f t="shared" si="769"/>
        <v>0</v>
      </c>
      <c r="W196" s="711">
        <f t="shared" si="769"/>
        <v>0</v>
      </c>
      <c r="X196" s="711">
        <f t="shared" si="769"/>
        <v>0</v>
      </c>
      <c r="Y196" s="711">
        <f t="shared" si="769"/>
        <v>0</v>
      </c>
      <c r="Z196" s="711">
        <f t="shared" si="769"/>
        <v>0</v>
      </c>
      <c r="AA196" s="711">
        <f t="shared" si="769"/>
        <v>0</v>
      </c>
      <c r="AB196" s="711">
        <f t="shared" si="769"/>
        <v>0</v>
      </c>
      <c r="AC196" s="711">
        <f t="shared" si="769"/>
        <v>0</v>
      </c>
      <c r="AD196" s="711">
        <f t="shared" si="769"/>
        <v>0</v>
      </c>
      <c r="AE196" s="711">
        <f t="shared" si="769"/>
        <v>0</v>
      </c>
      <c r="AF196" s="711">
        <f t="shared" si="769"/>
        <v>0</v>
      </c>
      <c r="AG196" s="711">
        <f t="shared" si="769"/>
        <v>0</v>
      </c>
      <c r="AH196" s="711">
        <f>SUM(AH194:AH195)</f>
        <v>0</v>
      </c>
      <c r="AI196" s="711">
        <f>SUM(AI194:AI195)</f>
        <v>0</v>
      </c>
      <c r="AL196" s="113"/>
      <c r="AN196" s="133"/>
      <c r="AO196" s="112"/>
      <c r="AP196" s="133"/>
      <c r="AQ196" s="112"/>
      <c r="AR196" s="133"/>
    </row>
    <row r="197" spans="1:44" s="136" customFormat="1" x14ac:dyDescent="0.2">
      <c r="A197" s="147" t="s">
        <v>129</v>
      </c>
      <c r="B197" s="730">
        <f t="shared" ref="B197:AH197" si="770">B181+B189</f>
        <v>0</v>
      </c>
      <c r="C197" s="731">
        <f t="shared" si="770"/>
        <v>98685</v>
      </c>
      <c r="D197" s="731">
        <f t="shared" si="770"/>
        <v>0</v>
      </c>
      <c r="E197" s="731">
        <f t="shared" si="770"/>
        <v>0</v>
      </c>
      <c r="F197" s="731">
        <f t="shared" si="770"/>
        <v>0</v>
      </c>
      <c r="G197" s="730">
        <f t="shared" si="770"/>
        <v>0</v>
      </c>
      <c r="H197" s="730">
        <f t="shared" si="770"/>
        <v>0</v>
      </c>
      <c r="I197" s="730">
        <f t="shared" si="770"/>
        <v>0</v>
      </c>
      <c r="J197" s="730">
        <f t="shared" si="770"/>
        <v>0</v>
      </c>
      <c r="K197" s="730">
        <f t="shared" si="770"/>
        <v>0</v>
      </c>
      <c r="L197" s="730">
        <f t="shared" si="770"/>
        <v>0</v>
      </c>
      <c r="M197" s="730">
        <f t="shared" si="770"/>
        <v>0</v>
      </c>
      <c r="N197" s="730">
        <f t="shared" si="770"/>
        <v>0</v>
      </c>
      <c r="O197" s="730">
        <f t="shared" si="770"/>
        <v>0</v>
      </c>
      <c r="P197" s="730">
        <f t="shared" si="770"/>
        <v>0</v>
      </c>
      <c r="Q197" s="730">
        <f t="shared" si="770"/>
        <v>0</v>
      </c>
      <c r="R197" s="730">
        <f t="shared" si="770"/>
        <v>0</v>
      </c>
      <c r="S197" s="730">
        <f t="shared" si="770"/>
        <v>0</v>
      </c>
      <c r="T197" s="730">
        <f t="shared" si="770"/>
        <v>0</v>
      </c>
      <c r="U197" s="730">
        <f t="shared" si="770"/>
        <v>0</v>
      </c>
      <c r="V197" s="730">
        <f t="shared" si="770"/>
        <v>0</v>
      </c>
      <c r="W197" s="730">
        <f t="shared" si="770"/>
        <v>0</v>
      </c>
      <c r="X197" s="730">
        <f t="shared" si="770"/>
        <v>0</v>
      </c>
      <c r="Y197" s="730">
        <f t="shared" si="770"/>
        <v>0</v>
      </c>
      <c r="Z197" s="730">
        <f t="shared" si="770"/>
        <v>0</v>
      </c>
      <c r="AA197" s="730">
        <f t="shared" si="770"/>
        <v>0</v>
      </c>
      <c r="AB197" s="730">
        <f t="shared" si="770"/>
        <v>0</v>
      </c>
      <c r="AC197" s="730">
        <f t="shared" si="770"/>
        <v>0</v>
      </c>
      <c r="AD197" s="730">
        <f t="shared" si="770"/>
        <v>0</v>
      </c>
      <c r="AE197" s="730">
        <f t="shared" si="770"/>
        <v>0</v>
      </c>
      <c r="AF197" s="730">
        <f t="shared" si="770"/>
        <v>0</v>
      </c>
      <c r="AG197" s="730">
        <f t="shared" si="770"/>
        <v>0</v>
      </c>
      <c r="AH197" s="730">
        <f t="shared" si="770"/>
        <v>0</v>
      </c>
      <c r="AI197" s="730">
        <f>AI181+AI189</f>
        <v>0</v>
      </c>
      <c r="AL197" s="113"/>
      <c r="AN197" s="133"/>
      <c r="AO197" s="112"/>
      <c r="AP197" s="133"/>
      <c r="AQ197" s="112"/>
      <c r="AR197" s="133"/>
    </row>
    <row r="198" spans="1:44" s="136" customFormat="1" x14ac:dyDescent="0.2">
      <c r="A198" s="178" t="s">
        <v>130</v>
      </c>
      <c r="B198" s="711">
        <f t="shared" ref="B198:AH198" si="771">SUM(B197:B197)</f>
        <v>0</v>
      </c>
      <c r="C198" s="722">
        <f t="shared" si="771"/>
        <v>98685</v>
      </c>
      <c r="D198" s="722">
        <f t="shared" si="771"/>
        <v>0</v>
      </c>
      <c r="E198" s="722">
        <f t="shared" si="771"/>
        <v>0</v>
      </c>
      <c r="F198" s="722">
        <f t="shared" si="771"/>
        <v>0</v>
      </c>
      <c r="G198" s="711">
        <f t="shared" si="771"/>
        <v>0</v>
      </c>
      <c r="H198" s="711">
        <f t="shared" si="771"/>
        <v>0</v>
      </c>
      <c r="I198" s="711">
        <f t="shared" si="771"/>
        <v>0</v>
      </c>
      <c r="J198" s="711">
        <f t="shared" si="771"/>
        <v>0</v>
      </c>
      <c r="K198" s="711">
        <f t="shared" si="771"/>
        <v>0</v>
      </c>
      <c r="L198" s="711">
        <f t="shared" si="771"/>
        <v>0</v>
      </c>
      <c r="M198" s="711">
        <f t="shared" si="771"/>
        <v>0</v>
      </c>
      <c r="N198" s="711">
        <f t="shared" si="771"/>
        <v>0</v>
      </c>
      <c r="O198" s="711">
        <f t="shared" si="771"/>
        <v>0</v>
      </c>
      <c r="P198" s="711">
        <f t="shared" si="771"/>
        <v>0</v>
      </c>
      <c r="Q198" s="711">
        <f t="shared" si="771"/>
        <v>0</v>
      </c>
      <c r="R198" s="711">
        <f t="shared" si="771"/>
        <v>0</v>
      </c>
      <c r="S198" s="711">
        <f t="shared" si="771"/>
        <v>0</v>
      </c>
      <c r="T198" s="711">
        <f t="shared" si="771"/>
        <v>0</v>
      </c>
      <c r="U198" s="711">
        <f t="shared" si="771"/>
        <v>0</v>
      </c>
      <c r="V198" s="711">
        <f t="shared" si="771"/>
        <v>0</v>
      </c>
      <c r="W198" s="711">
        <f t="shared" si="771"/>
        <v>0</v>
      </c>
      <c r="X198" s="711">
        <f t="shared" si="771"/>
        <v>0</v>
      </c>
      <c r="Y198" s="711">
        <f t="shared" si="771"/>
        <v>0</v>
      </c>
      <c r="Z198" s="711">
        <f t="shared" si="771"/>
        <v>0</v>
      </c>
      <c r="AA198" s="711">
        <f t="shared" si="771"/>
        <v>0</v>
      </c>
      <c r="AB198" s="711">
        <f t="shared" si="771"/>
        <v>0</v>
      </c>
      <c r="AC198" s="711">
        <f t="shared" si="771"/>
        <v>0</v>
      </c>
      <c r="AD198" s="711">
        <f t="shared" si="771"/>
        <v>0</v>
      </c>
      <c r="AE198" s="711">
        <f t="shared" si="771"/>
        <v>0</v>
      </c>
      <c r="AF198" s="711">
        <f t="shared" si="771"/>
        <v>0</v>
      </c>
      <c r="AG198" s="711">
        <f t="shared" si="771"/>
        <v>0</v>
      </c>
      <c r="AH198" s="711">
        <f t="shared" si="771"/>
        <v>0</v>
      </c>
      <c r="AI198" s="711">
        <f>SUM(AI197:AI197)</f>
        <v>0</v>
      </c>
      <c r="AL198" s="113"/>
      <c r="AN198" s="133"/>
      <c r="AO198" s="112"/>
      <c r="AP198" s="133"/>
      <c r="AQ198" s="112"/>
      <c r="AR198" s="133"/>
    </row>
    <row r="199" spans="1:44" s="136" customFormat="1" x14ac:dyDescent="0.2">
      <c r="A199" s="178" t="s">
        <v>131</v>
      </c>
      <c r="B199" s="711">
        <f t="shared" ref="B199:AH199" si="772">B196+B198</f>
        <v>0</v>
      </c>
      <c r="C199" s="722">
        <f t="shared" si="772"/>
        <v>246585</v>
      </c>
      <c r="D199" s="722">
        <f t="shared" si="772"/>
        <v>36400</v>
      </c>
      <c r="E199" s="722">
        <f t="shared" si="772"/>
        <v>0</v>
      </c>
      <c r="F199" s="722">
        <f t="shared" si="772"/>
        <v>0</v>
      </c>
      <c r="G199" s="711">
        <f t="shared" si="772"/>
        <v>0</v>
      </c>
      <c r="H199" s="711">
        <f t="shared" si="772"/>
        <v>0</v>
      </c>
      <c r="I199" s="711">
        <f t="shared" si="772"/>
        <v>0</v>
      </c>
      <c r="J199" s="711">
        <f t="shared" si="772"/>
        <v>0</v>
      </c>
      <c r="K199" s="711">
        <f t="shared" si="772"/>
        <v>0</v>
      </c>
      <c r="L199" s="711">
        <f t="shared" si="772"/>
        <v>0</v>
      </c>
      <c r="M199" s="711">
        <f t="shared" si="772"/>
        <v>0</v>
      </c>
      <c r="N199" s="711">
        <f t="shared" si="772"/>
        <v>0</v>
      </c>
      <c r="O199" s="711">
        <f t="shared" si="772"/>
        <v>0</v>
      </c>
      <c r="P199" s="711">
        <f t="shared" si="772"/>
        <v>0</v>
      </c>
      <c r="Q199" s="711">
        <f t="shared" si="772"/>
        <v>0</v>
      </c>
      <c r="R199" s="711">
        <f t="shared" si="772"/>
        <v>0</v>
      </c>
      <c r="S199" s="711">
        <f t="shared" si="772"/>
        <v>0</v>
      </c>
      <c r="T199" s="711">
        <f t="shared" si="772"/>
        <v>0</v>
      </c>
      <c r="U199" s="711">
        <f t="shared" si="772"/>
        <v>0</v>
      </c>
      <c r="V199" s="711">
        <f t="shared" si="772"/>
        <v>0</v>
      </c>
      <c r="W199" s="711">
        <f t="shared" si="772"/>
        <v>0</v>
      </c>
      <c r="X199" s="711">
        <f t="shared" si="772"/>
        <v>0</v>
      </c>
      <c r="Y199" s="711">
        <f t="shared" si="772"/>
        <v>0</v>
      </c>
      <c r="Z199" s="711">
        <f t="shared" si="772"/>
        <v>0</v>
      </c>
      <c r="AA199" s="711">
        <f t="shared" si="772"/>
        <v>0</v>
      </c>
      <c r="AB199" s="711">
        <f t="shared" si="772"/>
        <v>0</v>
      </c>
      <c r="AC199" s="711">
        <f t="shared" si="772"/>
        <v>0</v>
      </c>
      <c r="AD199" s="711">
        <f t="shared" si="772"/>
        <v>0</v>
      </c>
      <c r="AE199" s="711">
        <f t="shared" si="772"/>
        <v>0</v>
      </c>
      <c r="AF199" s="711">
        <f t="shared" si="772"/>
        <v>0</v>
      </c>
      <c r="AG199" s="711">
        <f t="shared" si="772"/>
        <v>0</v>
      </c>
      <c r="AH199" s="711">
        <f t="shared" si="772"/>
        <v>0</v>
      </c>
      <c r="AI199" s="711">
        <f>AI196+AI198</f>
        <v>0</v>
      </c>
      <c r="AL199" s="113"/>
      <c r="AN199" s="133"/>
      <c r="AO199" s="112"/>
      <c r="AP199" s="133"/>
      <c r="AQ199" s="112"/>
      <c r="AR199" s="133"/>
    </row>
    <row r="200" spans="1:44" s="136" customFormat="1" x14ac:dyDescent="0.2">
      <c r="A200" s="40"/>
      <c r="B200" s="180"/>
      <c r="C200" s="180"/>
      <c r="D200" s="180"/>
      <c r="E200" s="180"/>
      <c r="F200" s="180"/>
      <c r="G200" s="180"/>
      <c r="H200" s="180"/>
      <c r="I200" s="180"/>
      <c r="J200" s="180"/>
      <c r="K200" s="180"/>
      <c r="L200" s="180"/>
      <c r="M200" s="180"/>
      <c r="N200" s="180"/>
      <c r="O200" s="180"/>
      <c r="P200" s="180"/>
      <c r="Q200" s="180"/>
      <c r="R200" s="180"/>
      <c r="S200" s="180"/>
      <c r="T200" s="180"/>
      <c r="U200" s="180"/>
      <c r="V200" s="180"/>
      <c r="W200" s="180"/>
      <c r="X200" s="180"/>
      <c r="Y200" s="180"/>
      <c r="Z200" s="180"/>
      <c r="AA200" s="180"/>
      <c r="AB200" s="180"/>
      <c r="AC200" s="180"/>
      <c r="AD200" s="180"/>
      <c r="AE200" s="180"/>
      <c r="AF200" s="180"/>
      <c r="AG200" s="180"/>
      <c r="AH200" s="180"/>
      <c r="AI200" s="180"/>
      <c r="AL200" s="113"/>
      <c r="AN200" s="133"/>
      <c r="AO200" s="112"/>
      <c r="AP200" s="133"/>
      <c r="AQ200" s="112"/>
      <c r="AR200" s="133"/>
    </row>
    <row r="201" spans="1:44" s="183" customFormat="1" ht="15.75" x14ac:dyDescent="0.2">
      <c r="A201" s="114" t="s">
        <v>287</v>
      </c>
      <c r="B201" s="181"/>
      <c r="C201" s="182"/>
      <c r="D201" s="182"/>
      <c r="E201" s="182"/>
      <c r="F201" s="18"/>
      <c r="G201" s="182"/>
      <c r="H201" s="182"/>
      <c r="I201" s="182"/>
      <c r="J201" s="182"/>
      <c r="K201" s="182"/>
      <c r="L201" s="182"/>
      <c r="M201" s="182"/>
      <c r="N201" s="182"/>
      <c r="O201" s="182"/>
      <c r="P201" s="182"/>
      <c r="Q201" s="182"/>
      <c r="R201" s="182"/>
      <c r="S201" s="182"/>
      <c r="T201" s="182"/>
      <c r="U201" s="182"/>
      <c r="V201" s="182"/>
      <c r="W201" s="182"/>
      <c r="X201" s="182"/>
      <c r="Y201" s="182"/>
      <c r="Z201" s="182"/>
      <c r="AA201" s="182"/>
      <c r="AB201" s="182"/>
      <c r="AC201" s="182"/>
      <c r="AD201" s="182"/>
      <c r="AE201" s="182"/>
      <c r="AF201" s="182"/>
      <c r="AG201" s="182"/>
      <c r="AH201" s="182"/>
      <c r="AI201" s="182"/>
      <c r="AL201" s="113"/>
      <c r="AN201" s="133"/>
      <c r="AO201" s="112"/>
      <c r="AP201" s="133"/>
      <c r="AQ201" s="112"/>
      <c r="AR201" s="133"/>
    </row>
    <row r="202" spans="1:44" s="183" customFormat="1" x14ac:dyDescent="0.2">
      <c r="A202" s="184"/>
      <c r="B202" s="185"/>
      <c r="C202" s="185"/>
      <c r="D202" s="185"/>
      <c r="E202" s="185"/>
      <c r="F202" s="148"/>
      <c r="G202" s="185"/>
      <c r="H202" s="185"/>
      <c r="I202" s="185"/>
      <c r="J202" s="185"/>
      <c r="K202" s="185"/>
      <c r="L202" s="185"/>
      <c r="M202" s="185" t="s">
        <v>16</v>
      </c>
      <c r="N202" s="185"/>
      <c r="O202" s="185"/>
      <c r="P202" s="185"/>
      <c r="Q202" s="185"/>
      <c r="R202" s="185"/>
      <c r="S202" s="185"/>
      <c r="T202" s="185"/>
      <c r="U202" s="141"/>
      <c r="V202" s="141"/>
      <c r="W202" s="141"/>
      <c r="X202" s="141"/>
      <c r="Y202" s="141"/>
      <c r="Z202" s="141"/>
      <c r="AA202" s="141"/>
      <c r="AB202" s="141"/>
      <c r="AC202" s="141"/>
      <c r="AD202" s="141"/>
      <c r="AE202" s="141"/>
      <c r="AF202" s="141"/>
      <c r="AG202" s="141"/>
      <c r="AH202" s="141"/>
      <c r="AI202" s="141"/>
      <c r="AL202" s="113"/>
      <c r="AN202" s="133"/>
      <c r="AO202" s="112"/>
      <c r="AP202" s="133"/>
      <c r="AQ202" s="112"/>
      <c r="AR202" s="133"/>
    </row>
    <row r="203" spans="1:44" s="183" customFormat="1" x14ac:dyDescent="0.2">
      <c r="A203" s="41"/>
      <c r="B203" s="186">
        <f>Aprekini!B5</f>
        <v>2019</v>
      </c>
      <c r="C203" s="186">
        <f t="shared" ref="C203:AG203" si="773">B203+1</f>
        <v>2020</v>
      </c>
      <c r="D203" s="186">
        <f t="shared" si="773"/>
        <v>2021</v>
      </c>
      <c r="E203" s="186">
        <f t="shared" si="773"/>
        <v>2022</v>
      </c>
      <c r="F203" s="174">
        <f t="shared" si="773"/>
        <v>2023</v>
      </c>
      <c r="G203" s="186">
        <f t="shared" si="773"/>
        <v>2024</v>
      </c>
      <c r="H203" s="186">
        <f t="shared" si="773"/>
        <v>2025</v>
      </c>
      <c r="I203" s="186">
        <f t="shared" si="773"/>
        <v>2026</v>
      </c>
      <c r="J203" s="186">
        <f t="shared" si="773"/>
        <v>2027</v>
      </c>
      <c r="K203" s="186">
        <f t="shared" si="773"/>
        <v>2028</v>
      </c>
      <c r="L203" s="186">
        <f t="shared" si="773"/>
        <v>2029</v>
      </c>
      <c r="M203" s="186">
        <f t="shared" si="773"/>
        <v>2030</v>
      </c>
      <c r="N203" s="186">
        <f t="shared" si="773"/>
        <v>2031</v>
      </c>
      <c r="O203" s="186">
        <f t="shared" si="773"/>
        <v>2032</v>
      </c>
      <c r="P203" s="186">
        <f t="shared" si="773"/>
        <v>2033</v>
      </c>
      <c r="Q203" s="186">
        <f t="shared" si="773"/>
        <v>2034</v>
      </c>
      <c r="R203" s="186">
        <f t="shared" si="773"/>
        <v>2035</v>
      </c>
      <c r="S203" s="186">
        <f t="shared" si="773"/>
        <v>2036</v>
      </c>
      <c r="T203" s="186">
        <f t="shared" si="773"/>
        <v>2037</v>
      </c>
      <c r="U203" s="186">
        <f t="shared" si="773"/>
        <v>2038</v>
      </c>
      <c r="V203" s="186">
        <f t="shared" si="773"/>
        <v>2039</v>
      </c>
      <c r="W203" s="186">
        <f t="shared" si="773"/>
        <v>2040</v>
      </c>
      <c r="X203" s="186">
        <f t="shared" si="773"/>
        <v>2041</v>
      </c>
      <c r="Y203" s="186">
        <f t="shared" si="773"/>
        <v>2042</v>
      </c>
      <c r="Z203" s="186">
        <f t="shared" si="773"/>
        <v>2043</v>
      </c>
      <c r="AA203" s="186">
        <f t="shared" si="773"/>
        <v>2044</v>
      </c>
      <c r="AB203" s="186">
        <f t="shared" si="773"/>
        <v>2045</v>
      </c>
      <c r="AC203" s="186">
        <f t="shared" si="773"/>
        <v>2046</v>
      </c>
      <c r="AD203" s="186">
        <f t="shared" si="773"/>
        <v>2047</v>
      </c>
      <c r="AE203" s="186">
        <f t="shared" si="773"/>
        <v>2048</v>
      </c>
      <c r="AF203" s="186">
        <f t="shared" si="773"/>
        <v>2049</v>
      </c>
      <c r="AG203" s="186">
        <f t="shared" si="773"/>
        <v>2050</v>
      </c>
      <c r="AH203" s="186">
        <f>AG203+1</f>
        <v>2051</v>
      </c>
      <c r="AI203" s="186">
        <f>AH203+1</f>
        <v>2052</v>
      </c>
      <c r="AL203" s="113"/>
      <c r="AN203" s="133"/>
      <c r="AO203" s="112"/>
      <c r="AP203" s="133"/>
      <c r="AQ203" s="112"/>
      <c r="AR203" s="133"/>
    </row>
    <row r="204" spans="1:44" s="183" customFormat="1" x14ac:dyDescent="0.2">
      <c r="A204" s="187" t="s">
        <v>400</v>
      </c>
      <c r="B204" s="702">
        <f>B148-B205-B206-B209</f>
        <v>0</v>
      </c>
      <c r="C204" s="702">
        <f t="shared" ref="C204:AH204" si="774">C148-C205-C206-C209</f>
        <v>177031.85336800001</v>
      </c>
      <c r="D204" s="702">
        <f t="shared" si="774"/>
        <v>18955.526043999998</v>
      </c>
      <c r="E204" s="702">
        <f t="shared" si="774"/>
        <v>0</v>
      </c>
      <c r="F204" s="702">
        <f t="shared" si="774"/>
        <v>0</v>
      </c>
      <c r="G204" s="702">
        <f t="shared" si="774"/>
        <v>0</v>
      </c>
      <c r="H204" s="702">
        <f t="shared" si="774"/>
        <v>0</v>
      </c>
      <c r="I204" s="702">
        <f t="shared" si="774"/>
        <v>0</v>
      </c>
      <c r="J204" s="702">
        <f t="shared" si="774"/>
        <v>0</v>
      </c>
      <c r="K204" s="702">
        <f t="shared" si="774"/>
        <v>0</v>
      </c>
      <c r="L204" s="702">
        <f t="shared" si="774"/>
        <v>0</v>
      </c>
      <c r="M204" s="702">
        <f t="shared" si="774"/>
        <v>0</v>
      </c>
      <c r="N204" s="702">
        <f t="shared" si="774"/>
        <v>0</v>
      </c>
      <c r="O204" s="702">
        <f t="shared" si="774"/>
        <v>0</v>
      </c>
      <c r="P204" s="702">
        <f t="shared" si="774"/>
        <v>0</v>
      </c>
      <c r="Q204" s="702">
        <f t="shared" si="774"/>
        <v>0</v>
      </c>
      <c r="R204" s="702">
        <f t="shared" si="774"/>
        <v>0</v>
      </c>
      <c r="S204" s="702">
        <f t="shared" si="774"/>
        <v>0</v>
      </c>
      <c r="T204" s="702">
        <f t="shared" si="774"/>
        <v>0</v>
      </c>
      <c r="U204" s="702">
        <f t="shared" si="774"/>
        <v>0</v>
      </c>
      <c r="V204" s="702">
        <f t="shared" si="774"/>
        <v>0</v>
      </c>
      <c r="W204" s="702">
        <f t="shared" si="774"/>
        <v>0</v>
      </c>
      <c r="X204" s="702">
        <f t="shared" si="774"/>
        <v>0</v>
      </c>
      <c r="Y204" s="702">
        <f t="shared" si="774"/>
        <v>0</v>
      </c>
      <c r="Z204" s="702">
        <f t="shared" si="774"/>
        <v>0</v>
      </c>
      <c r="AA204" s="702">
        <f t="shared" si="774"/>
        <v>0</v>
      </c>
      <c r="AB204" s="702">
        <f t="shared" si="774"/>
        <v>0</v>
      </c>
      <c r="AC204" s="702">
        <f t="shared" si="774"/>
        <v>0</v>
      </c>
      <c r="AD204" s="702">
        <f t="shared" si="774"/>
        <v>0</v>
      </c>
      <c r="AE204" s="702">
        <f t="shared" si="774"/>
        <v>0</v>
      </c>
      <c r="AF204" s="702">
        <f t="shared" si="774"/>
        <v>0</v>
      </c>
      <c r="AG204" s="702">
        <f t="shared" si="774"/>
        <v>0</v>
      </c>
      <c r="AH204" s="702">
        <f t="shared" si="774"/>
        <v>0</v>
      </c>
      <c r="AI204" s="702">
        <f>AI148-AI205-AI206-AI209</f>
        <v>0</v>
      </c>
      <c r="AL204" s="113"/>
      <c r="AN204" s="133"/>
      <c r="AO204" s="112"/>
      <c r="AP204" s="133"/>
      <c r="AQ204" s="112"/>
      <c r="AR204" s="133"/>
    </row>
    <row r="205" spans="1:44" s="183" customFormat="1" x14ac:dyDescent="0.2">
      <c r="A205" s="187" t="s">
        <v>401</v>
      </c>
      <c r="B205" s="731">
        <f>'gadu šķirošana'!C67</f>
        <v>0</v>
      </c>
      <c r="C205" s="731">
        <f>'gadu šķirošana'!D67</f>
        <v>50000</v>
      </c>
      <c r="D205" s="731">
        <f>'gadu šķirošana'!E67</f>
        <v>0</v>
      </c>
      <c r="E205" s="731">
        <f>'gadu šķirošana'!F67</f>
        <v>0</v>
      </c>
      <c r="F205" s="731">
        <f>'gadu šķirošana'!G67</f>
        <v>0</v>
      </c>
      <c r="G205" s="731">
        <f>'gadu šķirošana'!H67</f>
        <v>0</v>
      </c>
      <c r="H205" s="731">
        <f>'gadu šķirošana'!I67</f>
        <v>0</v>
      </c>
      <c r="I205" s="731">
        <f>'gadu šķirošana'!J67</f>
        <v>0</v>
      </c>
      <c r="J205" s="731">
        <f>'gadu šķirošana'!K67</f>
        <v>0</v>
      </c>
      <c r="K205" s="731">
        <f>'gadu šķirošana'!L67</f>
        <v>0</v>
      </c>
      <c r="L205" s="731">
        <f>'gadu šķirošana'!M67</f>
        <v>0</v>
      </c>
      <c r="M205" s="731">
        <f>'gadu šķirošana'!N67</f>
        <v>0</v>
      </c>
      <c r="N205" s="731">
        <f>'gadu šķirošana'!O67</f>
        <v>0</v>
      </c>
      <c r="O205" s="731">
        <f>'gadu šķirošana'!P67</f>
        <v>0</v>
      </c>
      <c r="P205" s="731">
        <f>'gadu šķirošana'!Q67</f>
        <v>0</v>
      </c>
      <c r="Q205" s="731">
        <f>'gadu šķirošana'!R67</f>
        <v>0</v>
      </c>
      <c r="R205" s="731">
        <f>'gadu šķirošana'!S67</f>
        <v>0</v>
      </c>
      <c r="S205" s="731">
        <f>'gadu šķirošana'!T67</f>
        <v>0</v>
      </c>
      <c r="T205" s="731">
        <f>'gadu šķirošana'!U67</f>
        <v>0</v>
      </c>
      <c r="U205" s="731">
        <f>'gadu šķirošana'!V67</f>
        <v>0</v>
      </c>
      <c r="V205" s="731">
        <f>'gadu šķirošana'!W67</f>
        <v>0</v>
      </c>
      <c r="W205" s="731">
        <f>'gadu šķirošana'!X67</f>
        <v>0</v>
      </c>
      <c r="X205" s="731">
        <f>'gadu šķirošana'!Y67</f>
        <v>0</v>
      </c>
      <c r="Y205" s="731">
        <f>'gadu šķirošana'!Z67</f>
        <v>0</v>
      </c>
      <c r="Z205" s="731">
        <f>'gadu šķirošana'!AA67</f>
        <v>0</v>
      </c>
      <c r="AA205" s="731">
        <f>'gadu šķirošana'!AB67</f>
        <v>0</v>
      </c>
      <c r="AB205" s="731">
        <f>'gadu šķirošana'!AC67</f>
        <v>0</v>
      </c>
      <c r="AC205" s="731">
        <f>'gadu šķirošana'!AD67</f>
        <v>0</v>
      </c>
      <c r="AD205" s="731">
        <f>'gadu šķirošana'!AE67</f>
        <v>0</v>
      </c>
      <c r="AE205" s="731">
        <f>'gadu šķirošana'!AF67</f>
        <v>0</v>
      </c>
      <c r="AF205" s="731">
        <f>'gadu šķirošana'!AG67</f>
        <v>0</v>
      </c>
      <c r="AG205" s="731">
        <f>'gadu šķirošana'!AH67</f>
        <v>0</v>
      </c>
      <c r="AH205" s="731">
        <f>'gadu šķirošana'!AI67</f>
        <v>0</v>
      </c>
      <c r="AI205" s="731">
        <f>'gadu šķirošana'!AJ67</f>
        <v>0</v>
      </c>
      <c r="AL205" s="113"/>
      <c r="AN205" s="133"/>
      <c r="AO205" s="112"/>
      <c r="AP205" s="133"/>
      <c r="AQ205" s="112"/>
      <c r="AR205" s="133"/>
    </row>
    <row r="206" spans="1:44" s="183" customFormat="1" x14ac:dyDescent="0.2">
      <c r="A206" s="187" t="s">
        <v>133</v>
      </c>
      <c r="B206" s="731">
        <f>$B$213*B154</f>
        <v>0</v>
      </c>
      <c r="C206" s="731">
        <f t="shared" ref="C206:AH206" si="775">$B$213*C154</f>
        <v>0</v>
      </c>
      <c r="D206" s="731">
        <f t="shared" si="775"/>
        <v>0</v>
      </c>
      <c r="E206" s="731">
        <f t="shared" si="775"/>
        <v>0</v>
      </c>
      <c r="F206" s="731">
        <f t="shared" si="775"/>
        <v>0</v>
      </c>
      <c r="G206" s="731">
        <f t="shared" si="775"/>
        <v>0</v>
      </c>
      <c r="H206" s="731">
        <f t="shared" si="775"/>
        <v>0</v>
      </c>
      <c r="I206" s="731">
        <f t="shared" si="775"/>
        <v>0</v>
      </c>
      <c r="J206" s="731">
        <f t="shared" si="775"/>
        <v>0</v>
      </c>
      <c r="K206" s="731">
        <f t="shared" si="775"/>
        <v>0</v>
      </c>
      <c r="L206" s="731">
        <f t="shared" si="775"/>
        <v>0</v>
      </c>
      <c r="M206" s="731">
        <f t="shared" si="775"/>
        <v>0</v>
      </c>
      <c r="N206" s="731">
        <f t="shared" si="775"/>
        <v>0</v>
      </c>
      <c r="O206" s="731">
        <f t="shared" si="775"/>
        <v>0</v>
      </c>
      <c r="P206" s="731">
        <f t="shared" si="775"/>
        <v>0</v>
      </c>
      <c r="Q206" s="731">
        <f t="shared" si="775"/>
        <v>0</v>
      </c>
      <c r="R206" s="731">
        <f t="shared" si="775"/>
        <v>0</v>
      </c>
      <c r="S206" s="731">
        <f t="shared" si="775"/>
        <v>0</v>
      </c>
      <c r="T206" s="731">
        <f t="shared" si="775"/>
        <v>0</v>
      </c>
      <c r="U206" s="731">
        <f t="shared" si="775"/>
        <v>0</v>
      </c>
      <c r="V206" s="731">
        <f t="shared" si="775"/>
        <v>0</v>
      </c>
      <c r="W206" s="731">
        <f t="shared" si="775"/>
        <v>0</v>
      </c>
      <c r="X206" s="731">
        <f t="shared" si="775"/>
        <v>0</v>
      </c>
      <c r="Y206" s="731">
        <f t="shared" si="775"/>
        <v>0</v>
      </c>
      <c r="Z206" s="731">
        <f t="shared" si="775"/>
        <v>0</v>
      </c>
      <c r="AA206" s="731">
        <f t="shared" si="775"/>
        <v>0</v>
      </c>
      <c r="AB206" s="731">
        <f t="shared" si="775"/>
        <v>0</v>
      </c>
      <c r="AC206" s="731">
        <f t="shared" si="775"/>
        <v>0</v>
      </c>
      <c r="AD206" s="731">
        <f t="shared" si="775"/>
        <v>0</v>
      </c>
      <c r="AE206" s="731">
        <f t="shared" si="775"/>
        <v>0</v>
      </c>
      <c r="AF206" s="731">
        <f t="shared" si="775"/>
        <v>0</v>
      </c>
      <c r="AG206" s="731">
        <f t="shared" si="775"/>
        <v>0</v>
      </c>
      <c r="AH206" s="731">
        <f t="shared" si="775"/>
        <v>0</v>
      </c>
      <c r="AI206" s="731">
        <f>$B$213*AI154</f>
        <v>0</v>
      </c>
      <c r="AL206" s="113"/>
      <c r="AN206" s="133"/>
      <c r="AO206" s="112"/>
      <c r="AP206" s="133"/>
      <c r="AQ206" s="112"/>
      <c r="AR206" s="133"/>
    </row>
    <row r="207" spans="1:44" s="183" customFormat="1" x14ac:dyDescent="0.2">
      <c r="A207" s="59" t="s">
        <v>134</v>
      </c>
      <c r="B207" s="722">
        <f t="shared" ref="B207:G207" si="776">SUM(B204:B206)</f>
        <v>0</v>
      </c>
      <c r="C207" s="722">
        <f t="shared" si="776"/>
        <v>227031.85336800001</v>
      </c>
      <c r="D207" s="722">
        <f t="shared" si="776"/>
        <v>18955.526043999998</v>
      </c>
      <c r="E207" s="722">
        <f t="shared" si="776"/>
        <v>0</v>
      </c>
      <c r="F207" s="711">
        <f t="shared" si="776"/>
        <v>0</v>
      </c>
      <c r="G207" s="722">
        <f t="shared" si="776"/>
        <v>0</v>
      </c>
      <c r="H207" s="722">
        <v>0</v>
      </c>
      <c r="I207" s="722">
        <f t="shared" ref="I207:AH207" si="777">SUM(I204:I206)</f>
        <v>0</v>
      </c>
      <c r="J207" s="722">
        <f t="shared" si="777"/>
        <v>0</v>
      </c>
      <c r="K207" s="722">
        <f t="shared" si="777"/>
        <v>0</v>
      </c>
      <c r="L207" s="722">
        <f t="shared" si="777"/>
        <v>0</v>
      </c>
      <c r="M207" s="722">
        <f t="shared" si="777"/>
        <v>0</v>
      </c>
      <c r="N207" s="722">
        <f t="shared" si="777"/>
        <v>0</v>
      </c>
      <c r="O207" s="722">
        <f t="shared" si="777"/>
        <v>0</v>
      </c>
      <c r="P207" s="722">
        <f t="shared" si="777"/>
        <v>0</v>
      </c>
      <c r="Q207" s="722">
        <f t="shared" si="777"/>
        <v>0</v>
      </c>
      <c r="R207" s="722">
        <f t="shared" si="777"/>
        <v>0</v>
      </c>
      <c r="S207" s="722">
        <f t="shared" si="777"/>
        <v>0</v>
      </c>
      <c r="T207" s="722">
        <f t="shared" si="777"/>
        <v>0</v>
      </c>
      <c r="U207" s="722">
        <f t="shared" si="777"/>
        <v>0</v>
      </c>
      <c r="V207" s="722">
        <f t="shared" si="777"/>
        <v>0</v>
      </c>
      <c r="W207" s="722">
        <f t="shared" si="777"/>
        <v>0</v>
      </c>
      <c r="X207" s="722">
        <f t="shared" si="777"/>
        <v>0</v>
      </c>
      <c r="Y207" s="722">
        <f t="shared" si="777"/>
        <v>0</v>
      </c>
      <c r="Z207" s="722">
        <f t="shared" si="777"/>
        <v>0</v>
      </c>
      <c r="AA207" s="722">
        <f t="shared" si="777"/>
        <v>0</v>
      </c>
      <c r="AB207" s="722">
        <f t="shared" si="777"/>
        <v>0</v>
      </c>
      <c r="AC207" s="722">
        <f t="shared" si="777"/>
        <v>0</v>
      </c>
      <c r="AD207" s="722">
        <f t="shared" si="777"/>
        <v>0</v>
      </c>
      <c r="AE207" s="722">
        <f t="shared" si="777"/>
        <v>0</v>
      </c>
      <c r="AF207" s="722">
        <f t="shared" si="777"/>
        <v>0</v>
      </c>
      <c r="AG207" s="722">
        <f t="shared" si="777"/>
        <v>0</v>
      </c>
      <c r="AH207" s="722">
        <f t="shared" si="777"/>
        <v>0</v>
      </c>
      <c r="AI207" s="722">
        <f>SUM(AI204:AI206)</f>
        <v>0</v>
      </c>
      <c r="AL207" s="113"/>
      <c r="AN207" s="133"/>
      <c r="AO207" s="112"/>
      <c r="AP207" s="133"/>
      <c r="AQ207" s="112"/>
      <c r="AR207" s="133"/>
    </row>
    <row r="208" spans="1:44" s="183" customFormat="1" x14ac:dyDescent="0.2">
      <c r="A208" s="59" t="s">
        <v>135</v>
      </c>
      <c r="B208" s="722">
        <f>B204+B206</f>
        <v>0</v>
      </c>
      <c r="C208" s="722">
        <f t="shared" ref="C208:AH208" si="778">C204+C206</f>
        <v>177031.85336800001</v>
      </c>
      <c r="D208" s="722">
        <f t="shared" si="778"/>
        <v>18955.526043999998</v>
      </c>
      <c r="E208" s="722">
        <f t="shared" si="778"/>
        <v>0</v>
      </c>
      <c r="F208" s="722">
        <f t="shared" si="778"/>
        <v>0</v>
      </c>
      <c r="G208" s="722">
        <f t="shared" si="778"/>
        <v>0</v>
      </c>
      <c r="H208" s="722">
        <f t="shared" si="778"/>
        <v>0</v>
      </c>
      <c r="I208" s="722">
        <f t="shared" si="778"/>
        <v>0</v>
      </c>
      <c r="J208" s="722">
        <f t="shared" si="778"/>
        <v>0</v>
      </c>
      <c r="K208" s="722">
        <f t="shared" si="778"/>
        <v>0</v>
      </c>
      <c r="L208" s="722">
        <f t="shared" si="778"/>
        <v>0</v>
      </c>
      <c r="M208" s="722">
        <f t="shared" si="778"/>
        <v>0</v>
      </c>
      <c r="N208" s="722">
        <f t="shared" si="778"/>
        <v>0</v>
      </c>
      <c r="O208" s="722">
        <f t="shared" si="778"/>
        <v>0</v>
      </c>
      <c r="P208" s="722">
        <f t="shared" si="778"/>
        <v>0</v>
      </c>
      <c r="Q208" s="722">
        <f t="shared" si="778"/>
        <v>0</v>
      </c>
      <c r="R208" s="722">
        <f t="shared" si="778"/>
        <v>0</v>
      </c>
      <c r="S208" s="722">
        <f t="shared" si="778"/>
        <v>0</v>
      </c>
      <c r="T208" s="722">
        <f t="shared" si="778"/>
        <v>0</v>
      </c>
      <c r="U208" s="722">
        <f t="shared" si="778"/>
        <v>0</v>
      </c>
      <c r="V208" s="722">
        <f t="shared" si="778"/>
        <v>0</v>
      </c>
      <c r="W208" s="722">
        <f t="shared" si="778"/>
        <v>0</v>
      </c>
      <c r="X208" s="722">
        <f t="shared" si="778"/>
        <v>0</v>
      </c>
      <c r="Y208" s="722">
        <f t="shared" si="778"/>
        <v>0</v>
      </c>
      <c r="Z208" s="722">
        <f t="shared" si="778"/>
        <v>0</v>
      </c>
      <c r="AA208" s="722">
        <f t="shared" si="778"/>
        <v>0</v>
      </c>
      <c r="AB208" s="722">
        <f t="shared" si="778"/>
        <v>0</v>
      </c>
      <c r="AC208" s="722">
        <f t="shared" si="778"/>
        <v>0</v>
      </c>
      <c r="AD208" s="722">
        <f t="shared" si="778"/>
        <v>0</v>
      </c>
      <c r="AE208" s="722">
        <f t="shared" si="778"/>
        <v>0</v>
      </c>
      <c r="AF208" s="722">
        <f t="shared" si="778"/>
        <v>0</v>
      </c>
      <c r="AG208" s="722">
        <f t="shared" si="778"/>
        <v>0</v>
      </c>
      <c r="AH208" s="722">
        <f t="shared" si="778"/>
        <v>0</v>
      </c>
      <c r="AI208" s="722">
        <f>AI204+AI206</f>
        <v>0</v>
      </c>
      <c r="AL208" s="113"/>
      <c r="AN208" s="133"/>
      <c r="AO208" s="112"/>
      <c r="AP208" s="133"/>
      <c r="AQ208" s="112"/>
      <c r="AR208" s="133"/>
    </row>
    <row r="209" spans="1:252" s="183" customFormat="1" x14ac:dyDescent="0.2">
      <c r="A209" s="187" t="s">
        <v>248</v>
      </c>
      <c r="B209" s="731">
        <f>MAX(B154*$B$214,0)</f>
        <v>0</v>
      </c>
      <c r="C209" s="731">
        <f t="shared" ref="C209:AH209" si="779">MAX(C154*$B$214,0)</f>
        <v>19553.146632</v>
      </c>
      <c r="D209" s="731">
        <f t="shared" si="779"/>
        <v>17444.473956000002</v>
      </c>
      <c r="E209" s="731">
        <f t="shared" si="779"/>
        <v>0</v>
      </c>
      <c r="F209" s="731">
        <f t="shared" si="779"/>
        <v>0</v>
      </c>
      <c r="G209" s="731">
        <f t="shared" si="779"/>
        <v>0</v>
      </c>
      <c r="H209" s="731">
        <f t="shared" si="779"/>
        <v>0</v>
      </c>
      <c r="I209" s="731">
        <f t="shared" si="779"/>
        <v>0</v>
      </c>
      <c r="J209" s="731">
        <f t="shared" si="779"/>
        <v>0</v>
      </c>
      <c r="K209" s="731">
        <f t="shared" si="779"/>
        <v>0</v>
      </c>
      <c r="L209" s="731">
        <f t="shared" si="779"/>
        <v>0</v>
      </c>
      <c r="M209" s="731">
        <f t="shared" si="779"/>
        <v>0</v>
      </c>
      <c r="N209" s="731">
        <f t="shared" si="779"/>
        <v>0</v>
      </c>
      <c r="O209" s="731">
        <f t="shared" si="779"/>
        <v>0</v>
      </c>
      <c r="P209" s="731">
        <f t="shared" si="779"/>
        <v>0</v>
      </c>
      <c r="Q209" s="731">
        <f t="shared" si="779"/>
        <v>0</v>
      </c>
      <c r="R209" s="731">
        <f t="shared" si="779"/>
        <v>0</v>
      </c>
      <c r="S209" s="731">
        <f t="shared" si="779"/>
        <v>0</v>
      </c>
      <c r="T209" s="731">
        <f t="shared" si="779"/>
        <v>0</v>
      </c>
      <c r="U209" s="731">
        <f t="shared" si="779"/>
        <v>0</v>
      </c>
      <c r="V209" s="731">
        <f t="shared" si="779"/>
        <v>0</v>
      </c>
      <c r="W209" s="731">
        <f t="shared" si="779"/>
        <v>0</v>
      </c>
      <c r="X209" s="731">
        <f t="shared" si="779"/>
        <v>0</v>
      </c>
      <c r="Y209" s="731">
        <f t="shared" si="779"/>
        <v>0</v>
      </c>
      <c r="Z209" s="731">
        <f t="shared" si="779"/>
        <v>0</v>
      </c>
      <c r="AA209" s="731">
        <f t="shared" si="779"/>
        <v>0</v>
      </c>
      <c r="AB209" s="731">
        <f t="shared" si="779"/>
        <v>0</v>
      </c>
      <c r="AC209" s="731">
        <f t="shared" si="779"/>
        <v>0</v>
      </c>
      <c r="AD209" s="731">
        <f t="shared" si="779"/>
        <v>0</v>
      </c>
      <c r="AE209" s="731">
        <f t="shared" si="779"/>
        <v>0</v>
      </c>
      <c r="AF209" s="731">
        <f t="shared" si="779"/>
        <v>0</v>
      </c>
      <c r="AG209" s="731">
        <f t="shared" si="779"/>
        <v>0</v>
      </c>
      <c r="AH209" s="731">
        <f t="shared" si="779"/>
        <v>0</v>
      </c>
      <c r="AI209" s="731">
        <f>MAX(AI154*$B$214,0)</f>
        <v>0</v>
      </c>
      <c r="AL209" s="113"/>
      <c r="AN209" s="133"/>
      <c r="AO209" s="112"/>
      <c r="AP209" s="133"/>
      <c r="AQ209" s="112"/>
      <c r="AR209" s="133"/>
    </row>
    <row r="210" spans="1:252" s="183" customFormat="1" x14ac:dyDescent="0.2">
      <c r="A210" s="59" t="s">
        <v>136</v>
      </c>
      <c r="B210" s="722">
        <f t="shared" ref="B210:AG210" si="780">B207+B209</f>
        <v>0</v>
      </c>
      <c r="C210" s="711">
        <f t="shared" si="780"/>
        <v>246585</v>
      </c>
      <c r="D210" s="711">
        <f t="shared" si="780"/>
        <v>36400</v>
      </c>
      <c r="E210" s="711">
        <f t="shared" si="780"/>
        <v>0</v>
      </c>
      <c r="F210" s="711">
        <f t="shared" si="780"/>
        <v>0</v>
      </c>
      <c r="G210" s="711">
        <f t="shared" si="780"/>
        <v>0</v>
      </c>
      <c r="H210" s="722">
        <v>0</v>
      </c>
      <c r="I210" s="722">
        <f t="shared" si="780"/>
        <v>0</v>
      </c>
      <c r="J210" s="722">
        <f t="shared" si="780"/>
        <v>0</v>
      </c>
      <c r="K210" s="722">
        <f t="shared" si="780"/>
        <v>0</v>
      </c>
      <c r="L210" s="722">
        <f t="shared" si="780"/>
        <v>0</v>
      </c>
      <c r="M210" s="722">
        <f t="shared" si="780"/>
        <v>0</v>
      </c>
      <c r="N210" s="722">
        <f t="shared" si="780"/>
        <v>0</v>
      </c>
      <c r="O210" s="722">
        <f t="shared" si="780"/>
        <v>0</v>
      </c>
      <c r="P210" s="722">
        <f t="shared" si="780"/>
        <v>0</v>
      </c>
      <c r="Q210" s="722">
        <f t="shared" si="780"/>
        <v>0</v>
      </c>
      <c r="R210" s="722">
        <f t="shared" si="780"/>
        <v>0</v>
      </c>
      <c r="S210" s="722">
        <f t="shared" si="780"/>
        <v>0</v>
      </c>
      <c r="T210" s="722">
        <f t="shared" si="780"/>
        <v>0</v>
      </c>
      <c r="U210" s="722">
        <f t="shared" si="780"/>
        <v>0</v>
      </c>
      <c r="V210" s="722">
        <f t="shared" si="780"/>
        <v>0</v>
      </c>
      <c r="W210" s="722">
        <f t="shared" si="780"/>
        <v>0</v>
      </c>
      <c r="X210" s="722">
        <f t="shared" si="780"/>
        <v>0</v>
      </c>
      <c r="Y210" s="722">
        <f t="shared" si="780"/>
        <v>0</v>
      </c>
      <c r="Z210" s="722">
        <f t="shared" si="780"/>
        <v>0</v>
      </c>
      <c r="AA210" s="722">
        <f t="shared" si="780"/>
        <v>0</v>
      </c>
      <c r="AB210" s="722">
        <f t="shared" si="780"/>
        <v>0</v>
      </c>
      <c r="AC210" s="722">
        <f t="shared" si="780"/>
        <v>0</v>
      </c>
      <c r="AD210" s="722">
        <f t="shared" si="780"/>
        <v>0</v>
      </c>
      <c r="AE210" s="722">
        <f t="shared" si="780"/>
        <v>0</v>
      </c>
      <c r="AF210" s="722">
        <f t="shared" si="780"/>
        <v>0</v>
      </c>
      <c r="AG210" s="722">
        <f t="shared" si="780"/>
        <v>0</v>
      </c>
      <c r="AH210" s="722">
        <f>AH207+AH209</f>
        <v>0</v>
      </c>
      <c r="AI210" s="722">
        <f>AI207+AI209</f>
        <v>0</v>
      </c>
      <c r="AL210" s="113"/>
      <c r="AN210" s="133"/>
      <c r="AO210" s="112"/>
      <c r="AP210" s="133"/>
      <c r="AQ210" s="112"/>
      <c r="AR210" s="133"/>
    </row>
    <row r="211" spans="1:252" s="136" customFormat="1" x14ac:dyDescent="0.2">
      <c r="A211" s="137"/>
      <c r="B211" s="164"/>
      <c r="C211" s="164"/>
      <c r="D211" s="164"/>
      <c r="E211" s="164"/>
      <c r="F211" s="164"/>
      <c r="G211" s="164"/>
      <c r="H211" s="164"/>
      <c r="I211" s="164"/>
      <c r="J211" s="164"/>
      <c r="K211" s="164"/>
      <c r="L211" s="164"/>
      <c r="M211" s="164"/>
      <c r="N211" s="164"/>
      <c r="O211" s="164"/>
      <c r="P211" s="164"/>
      <c r="Q211" s="164"/>
      <c r="R211" s="164"/>
      <c r="S211" s="164"/>
      <c r="AL211" s="113"/>
      <c r="AN211" s="133"/>
      <c r="AO211" s="112"/>
      <c r="AP211" s="133"/>
      <c r="AQ211" s="112"/>
      <c r="AR211" s="133"/>
    </row>
    <row r="212" spans="1:252" s="136" customFormat="1" x14ac:dyDescent="0.2">
      <c r="A212" s="188" t="s">
        <v>402</v>
      </c>
      <c r="AL212" s="113"/>
      <c r="AN212" s="133"/>
      <c r="AO212" s="112"/>
      <c r="AP212" s="133"/>
      <c r="AQ212" s="112"/>
      <c r="AR212" s="133"/>
    </row>
    <row r="213" spans="1:252" s="136" customFormat="1" outlineLevel="1" x14ac:dyDescent="0.2">
      <c r="A213" s="162" t="s">
        <v>405</v>
      </c>
      <c r="B213" s="15">
        <f>'Kopējie pieņēmumi'!B35</f>
        <v>0</v>
      </c>
      <c r="AL213" s="113"/>
      <c r="AN213" s="133"/>
      <c r="AO213" s="112"/>
      <c r="AP213" s="133"/>
      <c r="AQ213" s="112"/>
      <c r="AR213" s="133"/>
    </row>
    <row r="214" spans="1:252" s="136" customFormat="1" outlineLevel="1" x14ac:dyDescent="0.2">
      <c r="A214" s="162" t="s">
        <v>404</v>
      </c>
      <c r="B214" s="15">
        <f>Līdzfinansējums!F39</f>
        <v>0.47924379</v>
      </c>
      <c r="AL214" s="113"/>
      <c r="AN214" s="133"/>
      <c r="AO214" s="112"/>
      <c r="AP214" s="133"/>
      <c r="AQ214" s="112"/>
      <c r="AR214" s="133"/>
    </row>
    <row r="215" spans="1:252" s="136" customFormat="1" outlineLevel="1" x14ac:dyDescent="0.2">
      <c r="A215" s="162" t="s">
        <v>137</v>
      </c>
      <c r="B215" s="15">
        <f>B213+B214</f>
        <v>0.47924379</v>
      </c>
      <c r="AL215" s="113"/>
      <c r="AN215" s="133"/>
      <c r="AO215" s="112"/>
      <c r="AP215" s="133"/>
      <c r="AQ215" s="112"/>
      <c r="AR215" s="133"/>
    </row>
    <row r="216" spans="1:252" s="136" customFormat="1" x14ac:dyDescent="0.2">
      <c r="A216" s="137"/>
      <c r="AL216" s="113"/>
      <c r="AN216" s="133"/>
      <c r="AO216" s="112"/>
      <c r="AP216" s="133"/>
      <c r="AQ216" s="112"/>
      <c r="AR216" s="133"/>
    </row>
    <row r="217" spans="1:252" s="136" customFormat="1" ht="31.5" x14ac:dyDescent="0.2">
      <c r="A217" s="167" t="s">
        <v>288</v>
      </c>
      <c r="B217" s="169"/>
      <c r="C217" s="169"/>
      <c r="D217" s="169"/>
      <c r="E217" s="169"/>
      <c r="F217" s="169"/>
      <c r="G217" s="169"/>
      <c r="H217" s="169"/>
      <c r="I217" s="169"/>
      <c r="J217" s="169"/>
      <c r="K217" s="169"/>
      <c r="L217" s="169"/>
      <c r="M217" s="169"/>
      <c r="N217" s="169"/>
      <c r="O217" s="169"/>
      <c r="P217" s="170"/>
      <c r="Q217" s="170"/>
      <c r="R217" s="170"/>
      <c r="S217" s="170"/>
      <c r="T217" s="170"/>
      <c r="U217" s="170"/>
      <c r="V217" s="170"/>
      <c r="W217" s="170"/>
      <c r="X217" s="170"/>
      <c r="Y217" s="170"/>
      <c r="Z217" s="170"/>
      <c r="AA217" s="170"/>
      <c r="AB217" s="170"/>
      <c r="AC217" s="170"/>
      <c r="AD217" s="170"/>
      <c r="AE217" s="170"/>
      <c r="AF217" s="170"/>
      <c r="AG217" s="170"/>
      <c r="AH217" s="170"/>
      <c r="AI217" s="170"/>
      <c r="AJ217" s="154"/>
      <c r="AK217" s="154"/>
      <c r="AL217" s="113"/>
      <c r="AM217" s="154"/>
      <c r="AN217" s="133"/>
      <c r="AO217" s="112"/>
      <c r="AP217" s="133"/>
      <c r="AQ217" s="112"/>
      <c r="AR217" s="133"/>
      <c r="AS217" s="154"/>
      <c r="AT217" s="154"/>
      <c r="AU217" s="154"/>
      <c r="AV217" s="154"/>
      <c r="AW217" s="154"/>
      <c r="AX217" s="154"/>
      <c r="AY217" s="154"/>
      <c r="AZ217" s="154"/>
      <c r="BA217" s="154"/>
      <c r="BB217" s="154"/>
      <c r="BC217" s="154"/>
      <c r="BD217" s="154"/>
      <c r="BE217" s="154"/>
      <c r="BF217" s="154"/>
      <c r="BG217" s="154"/>
      <c r="BH217" s="154"/>
      <c r="BI217" s="154"/>
      <c r="BJ217" s="154"/>
      <c r="BK217" s="154"/>
      <c r="BL217" s="154"/>
      <c r="BM217" s="154"/>
      <c r="BN217" s="154"/>
      <c r="BO217" s="154"/>
      <c r="BP217" s="154"/>
      <c r="BQ217" s="154"/>
      <c r="BR217" s="154"/>
      <c r="BS217" s="154"/>
      <c r="BT217" s="154"/>
      <c r="BU217" s="154"/>
      <c r="BV217" s="154"/>
      <c r="BW217" s="154"/>
      <c r="BX217" s="154"/>
      <c r="BY217" s="154"/>
      <c r="BZ217" s="154"/>
      <c r="CA217" s="154"/>
      <c r="CB217" s="154"/>
      <c r="CC217" s="154"/>
      <c r="CD217" s="154"/>
      <c r="CE217" s="154"/>
      <c r="CF217" s="154"/>
      <c r="CG217" s="154"/>
      <c r="CH217" s="154"/>
      <c r="CI217" s="154"/>
      <c r="CJ217" s="154"/>
      <c r="CK217" s="154"/>
      <c r="CL217" s="154"/>
      <c r="CM217" s="154"/>
      <c r="CN217" s="154"/>
      <c r="CO217" s="154"/>
      <c r="CP217" s="154"/>
      <c r="CQ217" s="154"/>
      <c r="CR217" s="154"/>
      <c r="CS217" s="154"/>
      <c r="CT217" s="154"/>
      <c r="CU217" s="154"/>
      <c r="CV217" s="154"/>
      <c r="CW217" s="154"/>
      <c r="CX217" s="154"/>
      <c r="CY217" s="154"/>
      <c r="CZ217" s="154"/>
      <c r="DA217" s="154"/>
      <c r="DB217" s="154"/>
      <c r="DC217" s="154"/>
      <c r="DD217" s="154"/>
      <c r="DE217" s="154"/>
      <c r="DF217" s="154"/>
      <c r="DG217" s="154"/>
      <c r="DH217" s="154"/>
      <c r="DI217" s="154"/>
      <c r="DJ217" s="154"/>
      <c r="DK217" s="154"/>
      <c r="DL217" s="154"/>
      <c r="DM217" s="154"/>
      <c r="DN217" s="154"/>
      <c r="DO217" s="154"/>
      <c r="DP217" s="154"/>
      <c r="DQ217" s="154"/>
      <c r="DR217" s="154"/>
      <c r="DS217" s="154"/>
      <c r="DT217" s="154"/>
      <c r="DU217" s="154"/>
      <c r="DV217" s="154"/>
      <c r="DW217" s="154"/>
      <c r="DX217" s="154"/>
      <c r="DY217" s="154"/>
      <c r="DZ217" s="154"/>
      <c r="EA217" s="154"/>
      <c r="EB217" s="154"/>
      <c r="EC217" s="154"/>
      <c r="ED217" s="154"/>
      <c r="EE217" s="154"/>
      <c r="EF217" s="154"/>
      <c r="EG217" s="154"/>
      <c r="EH217" s="154"/>
      <c r="EI217" s="154"/>
      <c r="EJ217" s="154"/>
      <c r="EK217" s="154"/>
      <c r="EL217" s="154"/>
      <c r="EM217" s="154"/>
      <c r="EN217" s="154"/>
      <c r="EO217" s="154"/>
      <c r="EP217" s="154"/>
      <c r="EQ217" s="154"/>
      <c r="ER217" s="154"/>
      <c r="ES217" s="154"/>
      <c r="ET217" s="154"/>
      <c r="EU217" s="154"/>
      <c r="EV217" s="154"/>
      <c r="EW217" s="154"/>
      <c r="EX217" s="154"/>
      <c r="EY217" s="154"/>
      <c r="EZ217" s="154"/>
      <c r="FA217" s="154"/>
      <c r="FB217" s="154"/>
      <c r="FC217" s="154"/>
      <c r="FD217" s="154"/>
      <c r="FE217" s="154"/>
      <c r="FF217" s="154"/>
      <c r="FG217" s="154"/>
      <c r="FH217" s="154"/>
      <c r="FI217" s="154"/>
      <c r="FJ217" s="154"/>
      <c r="FK217" s="154"/>
      <c r="FL217" s="154"/>
      <c r="FM217" s="154"/>
      <c r="FN217" s="154"/>
      <c r="FO217" s="154"/>
      <c r="FP217" s="154"/>
      <c r="FQ217" s="154"/>
      <c r="FR217" s="154"/>
      <c r="FS217" s="154"/>
      <c r="FT217" s="154"/>
      <c r="FU217" s="154"/>
      <c r="FV217" s="154"/>
      <c r="FW217" s="154"/>
      <c r="FX217" s="154"/>
      <c r="FY217" s="154"/>
      <c r="FZ217" s="154"/>
      <c r="GA217" s="154"/>
      <c r="GB217" s="154"/>
      <c r="GC217" s="154"/>
      <c r="GD217" s="154"/>
      <c r="GE217" s="154"/>
      <c r="GF217" s="154"/>
      <c r="GG217" s="154"/>
      <c r="GH217" s="154"/>
      <c r="GI217" s="154"/>
      <c r="GJ217" s="154"/>
      <c r="GK217" s="154"/>
      <c r="GL217" s="154"/>
      <c r="GM217" s="154"/>
      <c r="GN217" s="154"/>
      <c r="GO217" s="154"/>
      <c r="GP217" s="154"/>
      <c r="GQ217" s="154"/>
      <c r="GR217" s="154"/>
      <c r="GS217" s="154"/>
      <c r="GT217" s="154"/>
      <c r="GU217" s="154"/>
      <c r="GV217" s="154"/>
      <c r="GW217" s="154"/>
      <c r="GX217" s="154"/>
      <c r="GY217" s="154"/>
      <c r="GZ217" s="154"/>
      <c r="HA217" s="154"/>
      <c r="HB217" s="154"/>
      <c r="HC217" s="154"/>
      <c r="HD217" s="154"/>
      <c r="HE217" s="154"/>
      <c r="HF217" s="154"/>
      <c r="HG217" s="154"/>
      <c r="HH217" s="154"/>
      <c r="HI217" s="154"/>
      <c r="HJ217" s="154"/>
      <c r="HK217" s="154"/>
      <c r="HL217" s="154"/>
      <c r="HM217" s="154"/>
      <c r="HN217" s="154"/>
      <c r="HO217" s="154"/>
      <c r="HP217" s="154"/>
      <c r="HQ217" s="154"/>
      <c r="HR217" s="154"/>
      <c r="HS217" s="154"/>
      <c r="HT217" s="154"/>
      <c r="HU217" s="154"/>
      <c r="HV217" s="154"/>
      <c r="HW217" s="154"/>
      <c r="HX217" s="154"/>
      <c r="HY217" s="154"/>
      <c r="HZ217" s="154"/>
      <c r="IA217" s="154"/>
      <c r="IB217" s="154"/>
      <c r="IC217" s="154"/>
      <c r="ID217" s="154"/>
      <c r="IE217" s="154"/>
      <c r="IF217" s="154"/>
      <c r="IG217" s="154"/>
      <c r="IH217" s="154"/>
      <c r="II217" s="154"/>
      <c r="IJ217" s="154"/>
      <c r="IK217" s="154"/>
      <c r="IL217" s="154"/>
      <c r="IM217" s="154"/>
      <c r="IN217" s="154"/>
      <c r="IO217" s="154"/>
      <c r="IP217" s="154"/>
      <c r="IQ217" s="154"/>
      <c r="IR217" s="154"/>
    </row>
    <row r="218" spans="1:252" s="136" customFormat="1" x14ac:dyDescent="0.2">
      <c r="A218" s="17"/>
      <c r="B218" s="18"/>
      <c r="C218" s="18"/>
      <c r="D218" s="18"/>
      <c r="E218" s="18"/>
      <c r="G218" s="18" t="s">
        <v>16</v>
      </c>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L218" s="113"/>
      <c r="AN218" s="133"/>
      <c r="AO218" s="112"/>
      <c r="AP218" s="133"/>
      <c r="AQ218" s="112"/>
      <c r="AR218" s="133"/>
    </row>
    <row r="219" spans="1:252" s="136" customFormat="1" x14ac:dyDescent="0.2">
      <c r="A219" s="17"/>
      <c r="B219" s="20">
        <f>Aprekini!B5</f>
        <v>2019</v>
      </c>
      <c r="C219" s="20">
        <f t="shared" ref="C219:AG219" si="781">B219+1</f>
        <v>2020</v>
      </c>
      <c r="D219" s="20">
        <f t="shared" si="781"/>
        <v>2021</v>
      </c>
      <c r="E219" s="20">
        <f t="shared" si="781"/>
        <v>2022</v>
      </c>
      <c r="F219" s="20">
        <f t="shared" si="781"/>
        <v>2023</v>
      </c>
      <c r="G219" s="20">
        <f t="shared" si="781"/>
        <v>2024</v>
      </c>
      <c r="H219" s="20">
        <f t="shared" si="781"/>
        <v>2025</v>
      </c>
      <c r="I219" s="20">
        <f t="shared" si="781"/>
        <v>2026</v>
      </c>
      <c r="J219" s="20">
        <f t="shared" si="781"/>
        <v>2027</v>
      </c>
      <c r="K219" s="20">
        <f t="shared" si="781"/>
        <v>2028</v>
      </c>
      <c r="L219" s="20">
        <f t="shared" si="781"/>
        <v>2029</v>
      </c>
      <c r="M219" s="20">
        <f t="shared" si="781"/>
        <v>2030</v>
      </c>
      <c r="N219" s="20">
        <f t="shared" si="781"/>
        <v>2031</v>
      </c>
      <c r="O219" s="20">
        <f t="shared" si="781"/>
        <v>2032</v>
      </c>
      <c r="P219" s="20">
        <f t="shared" si="781"/>
        <v>2033</v>
      </c>
      <c r="Q219" s="20">
        <f t="shared" si="781"/>
        <v>2034</v>
      </c>
      <c r="R219" s="20">
        <f t="shared" si="781"/>
        <v>2035</v>
      </c>
      <c r="S219" s="20">
        <f t="shared" si="781"/>
        <v>2036</v>
      </c>
      <c r="T219" s="20">
        <f t="shared" si="781"/>
        <v>2037</v>
      </c>
      <c r="U219" s="175">
        <f t="shared" si="781"/>
        <v>2038</v>
      </c>
      <c r="V219" s="175">
        <f t="shared" si="781"/>
        <v>2039</v>
      </c>
      <c r="W219" s="175">
        <f t="shared" si="781"/>
        <v>2040</v>
      </c>
      <c r="X219" s="175">
        <f t="shared" si="781"/>
        <v>2041</v>
      </c>
      <c r="Y219" s="175">
        <f t="shared" si="781"/>
        <v>2042</v>
      </c>
      <c r="Z219" s="175">
        <f t="shared" si="781"/>
        <v>2043</v>
      </c>
      <c r="AA219" s="175">
        <f t="shared" si="781"/>
        <v>2044</v>
      </c>
      <c r="AB219" s="175">
        <f t="shared" si="781"/>
        <v>2045</v>
      </c>
      <c r="AC219" s="175">
        <f t="shared" si="781"/>
        <v>2046</v>
      </c>
      <c r="AD219" s="175">
        <f t="shared" si="781"/>
        <v>2047</v>
      </c>
      <c r="AE219" s="175">
        <f t="shared" si="781"/>
        <v>2048</v>
      </c>
      <c r="AF219" s="175">
        <f t="shared" si="781"/>
        <v>2049</v>
      </c>
      <c r="AG219" s="175">
        <f t="shared" si="781"/>
        <v>2050</v>
      </c>
      <c r="AH219" s="175">
        <f>AG219+1</f>
        <v>2051</v>
      </c>
      <c r="AI219" s="175">
        <f>AH219+1</f>
        <v>2052</v>
      </c>
      <c r="AL219" s="113"/>
      <c r="AN219" s="133"/>
      <c r="AO219" s="112"/>
      <c r="AP219" s="133"/>
      <c r="AQ219" s="112"/>
      <c r="AR219" s="133"/>
    </row>
    <row r="220" spans="1:252" s="136" customFormat="1" x14ac:dyDescent="0.2">
      <c r="A220" s="189" t="s">
        <v>62</v>
      </c>
      <c r="B220" s="732">
        <f>Aprekini!B210</f>
        <v>0</v>
      </c>
      <c r="C220" s="732">
        <f>Aprekini!C210</f>
        <v>246585</v>
      </c>
      <c r="D220" s="732">
        <f>Aprekini!D210</f>
        <v>36400</v>
      </c>
      <c r="E220" s="732">
        <f>Aprekini!E210</f>
        <v>0</v>
      </c>
      <c r="F220" s="732">
        <f>Aprekini!F210</f>
        <v>0</v>
      </c>
      <c r="G220" s="732">
        <f>Aprekini!G210</f>
        <v>0</v>
      </c>
      <c r="H220" s="732">
        <v>0</v>
      </c>
      <c r="I220" s="732">
        <f>Aprekini!I210</f>
        <v>0</v>
      </c>
      <c r="J220" s="732">
        <f>Aprekini!J210</f>
        <v>0</v>
      </c>
      <c r="K220" s="732">
        <f>Aprekini!K210</f>
        <v>0</v>
      </c>
      <c r="L220" s="732">
        <f>Aprekini!L210</f>
        <v>0</v>
      </c>
      <c r="M220" s="732">
        <f>Aprekini!M210</f>
        <v>0</v>
      </c>
      <c r="N220" s="732">
        <f>Aprekini!N210</f>
        <v>0</v>
      </c>
      <c r="O220" s="732">
        <f>Aprekini!O210</f>
        <v>0</v>
      </c>
      <c r="P220" s="732">
        <f>Aprekini!P210</f>
        <v>0</v>
      </c>
      <c r="Q220" s="732">
        <f>Aprekini!Q210</f>
        <v>0</v>
      </c>
      <c r="R220" s="732">
        <f>Aprekini!R210</f>
        <v>0</v>
      </c>
      <c r="S220" s="732">
        <f>Aprekini!S210</f>
        <v>0</v>
      </c>
      <c r="T220" s="732">
        <f>Aprekini!T210</f>
        <v>0</v>
      </c>
      <c r="U220" s="732">
        <f>Aprekini!U210</f>
        <v>0</v>
      </c>
      <c r="V220" s="732">
        <f>Aprekini!V210</f>
        <v>0</v>
      </c>
      <c r="W220" s="732">
        <f>Aprekini!W210</f>
        <v>0</v>
      </c>
      <c r="X220" s="732">
        <f>Aprekini!X210</f>
        <v>0</v>
      </c>
      <c r="Y220" s="732">
        <f>Aprekini!Y210</f>
        <v>0</v>
      </c>
      <c r="Z220" s="732">
        <f>Aprekini!Z210</f>
        <v>0</v>
      </c>
      <c r="AA220" s="732">
        <f>Aprekini!AA210</f>
        <v>0</v>
      </c>
      <c r="AB220" s="732">
        <f>Aprekini!AB210</f>
        <v>0</v>
      </c>
      <c r="AC220" s="732">
        <f>Aprekini!AC210</f>
        <v>0</v>
      </c>
      <c r="AD220" s="732">
        <f>Aprekini!AD210</f>
        <v>0</v>
      </c>
      <c r="AE220" s="732">
        <f>Aprekini!AE210</f>
        <v>0</v>
      </c>
      <c r="AF220" s="732">
        <f>Aprekini!AF210</f>
        <v>0</v>
      </c>
      <c r="AG220" s="732">
        <f>Aprekini!AG210</f>
        <v>0</v>
      </c>
      <c r="AH220" s="732">
        <f>Aprekini!AH210</f>
        <v>0</v>
      </c>
      <c r="AI220" s="732">
        <f>Aprekini!AI210</f>
        <v>0</v>
      </c>
      <c r="AL220" s="113"/>
      <c r="AN220" s="133"/>
      <c r="AO220" s="112"/>
      <c r="AP220" s="133"/>
      <c r="AQ220" s="112"/>
      <c r="AR220" s="133"/>
    </row>
    <row r="221" spans="1:252" s="136" customFormat="1" x14ac:dyDescent="0.2">
      <c r="A221" s="57" t="s">
        <v>95</v>
      </c>
      <c r="B221" s="730">
        <f>'Saimnieciskas pamatdarbibas NP'!B95</f>
        <v>681344.79599999997</v>
      </c>
      <c r="C221" s="730">
        <f>'Saimnieciskas pamatdarbibas NP'!C95</f>
        <v>620864.79399999999</v>
      </c>
      <c r="D221" s="730">
        <f>'Saimnieciskas pamatdarbibas NP'!D95</f>
        <v>583271.28199999989</v>
      </c>
      <c r="E221" s="730">
        <f>'Saimnieciskas pamatdarbibas NP'!E95</f>
        <v>602550.30599999998</v>
      </c>
      <c r="F221" s="730">
        <f>'Saimnieciskas pamatdarbibas NP'!F95</f>
        <v>610980.08400000003</v>
      </c>
      <c r="G221" s="730">
        <f>'Saimnieciskas pamatdarbibas NP'!G95</f>
        <v>622269.72</v>
      </c>
      <c r="H221" s="730">
        <f>'Saimnieciskas pamatdarbibas NP'!H95</f>
        <v>633907.47600000002</v>
      </c>
      <c r="I221" s="730">
        <f>'Saimnieciskas pamatdarbibas NP'!I95</f>
        <v>641989.13400000008</v>
      </c>
      <c r="J221" s="730">
        <f>'Saimnieciskas pamatdarbibas NP'!J95</f>
        <v>653626.8899999999</v>
      </c>
      <c r="K221" s="730">
        <f>'Saimnieciskas pamatdarbibas NP'!K95</f>
        <v>664916.52599999995</v>
      </c>
      <c r="L221" s="730">
        <f>'Saimnieciskas pamatdarbibas NP'!L95</f>
        <v>677250.522</v>
      </c>
      <c r="M221" s="730">
        <f>'Saimnieciskas pamatdarbibas NP'!M95</f>
        <v>686376.54</v>
      </c>
      <c r="N221" s="730">
        <f>'Saimnieciskas pamatdarbibas NP'!N95</f>
        <v>688888.27800000005</v>
      </c>
      <c r="O221" s="730">
        <f>'Saimnieciskas pamatdarbibas NP'!O95</f>
        <v>701222.27399999998</v>
      </c>
      <c r="P221" s="730">
        <f>'Saimnieciskas pamatdarbibas NP'!P95</f>
        <v>715296.86999999988</v>
      </c>
      <c r="Q221" s="730">
        <f>'Saimnieciskas pamatdarbibas NP'!Q95</f>
        <v>732579.4439999999</v>
      </c>
      <c r="R221" s="730">
        <f>'Saimnieciskas pamatdarbibas NP'!R95</f>
        <v>746654.04</v>
      </c>
      <c r="S221" s="730">
        <f>'Saimnieciskas pamatdarbibas NP'!S95</f>
        <v>763936.61400000006</v>
      </c>
      <c r="T221" s="730">
        <f>'Saimnieciskas pamatdarbibas NP'!T95</f>
        <v>778011.21</v>
      </c>
      <c r="U221" s="730">
        <f>'Saimnieciskas pamatdarbibas NP'!U95</f>
        <v>795293.78399999999</v>
      </c>
      <c r="V221" s="730">
        <f>'Saimnieciskas pamatdarbibas NP'!V95</f>
        <v>809716.5</v>
      </c>
      <c r="W221" s="730">
        <f>'Saimnieciskas pamatdarbibas NP'!W95</f>
        <v>826999.07400000002</v>
      </c>
      <c r="X221" s="730">
        <f>'Saimnieciskas pamatdarbibas NP'!X95</f>
        <v>841073.66999999993</v>
      </c>
      <c r="Y221" s="730">
        <f>'Saimnieciskas pamatdarbibas NP'!Y95</f>
        <v>858356.24399999995</v>
      </c>
      <c r="Z221" s="730">
        <f>'Saimnieciskas pamatdarbibas NP'!Z95</f>
        <v>872430.84</v>
      </c>
      <c r="AA221" s="730">
        <f>'Saimnieciskas pamatdarbibas NP'!AA95</f>
        <v>889713.41399999999</v>
      </c>
      <c r="AB221" s="730">
        <f>'Saimnieciskas pamatdarbibas NP'!AB95</f>
        <v>907692.228</v>
      </c>
      <c r="AC221" s="730">
        <f>'Saimnieciskas pamatdarbibas NP'!AC95</f>
        <v>922811.18400000001</v>
      </c>
      <c r="AD221" s="730">
        <f>'Saimnieciskas pamatdarbibas NP'!AD95</f>
        <v>940789.99799999991</v>
      </c>
      <c r="AE221" s="730">
        <f>'Saimnieciskas pamatdarbibas NP'!AE95</f>
        <v>958768.81199999992</v>
      </c>
      <c r="AF221" s="730">
        <f>'Saimnieciskas pamatdarbibas NP'!AF95</f>
        <v>978836.34600000014</v>
      </c>
      <c r="AG221" s="730">
        <f>'Saimnieciskas pamatdarbibas NP'!AG95</f>
        <v>998555.76</v>
      </c>
      <c r="AH221" s="730">
        <f>'Saimnieciskas pamatdarbibas NP'!AH95</f>
        <v>1021831.272</v>
      </c>
      <c r="AI221" s="730">
        <f>'Saimnieciskas pamatdarbibas NP'!AI95</f>
        <v>1041550.6859999999</v>
      </c>
      <c r="AL221" s="113"/>
      <c r="AN221" s="133"/>
      <c r="AO221" s="112"/>
      <c r="AP221" s="133"/>
      <c r="AQ221" s="112"/>
      <c r="AR221" s="133"/>
    </row>
    <row r="222" spans="1:252" s="136" customFormat="1" x14ac:dyDescent="0.2">
      <c r="A222" s="59" t="s">
        <v>138</v>
      </c>
      <c r="B222" s="711">
        <f t="shared" ref="B222:AG222" si="782">SUM(B220:B221)</f>
        <v>681344.79599999997</v>
      </c>
      <c r="C222" s="711">
        <f t="shared" si="782"/>
        <v>867449.79399999999</v>
      </c>
      <c r="D222" s="711">
        <f t="shared" si="782"/>
        <v>619671.28199999989</v>
      </c>
      <c r="E222" s="711">
        <f t="shared" si="782"/>
        <v>602550.30599999998</v>
      </c>
      <c r="F222" s="711">
        <f t="shared" si="782"/>
        <v>610980.08400000003</v>
      </c>
      <c r="G222" s="711">
        <f t="shared" si="782"/>
        <v>622269.72</v>
      </c>
      <c r="H222" s="711">
        <f t="shared" si="782"/>
        <v>633907.47600000002</v>
      </c>
      <c r="I222" s="711">
        <f t="shared" si="782"/>
        <v>641989.13400000008</v>
      </c>
      <c r="J222" s="711">
        <f t="shared" si="782"/>
        <v>653626.8899999999</v>
      </c>
      <c r="K222" s="711">
        <f t="shared" si="782"/>
        <v>664916.52599999995</v>
      </c>
      <c r="L222" s="711">
        <f t="shared" si="782"/>
        <v>677250.522</v>
      </c>
      <c r="M222" s="711">
        <f t="shared" si="782"/>
        <v>686376.54</v>
      </c>
      <c r="N222" s="711">
        <f t="shared" si="782"/>
        <v>688888.27800000005</v>
      </c>
      <c r="O222" s="711">
        <f t="shared" si="782"/>
        <v>701222.27399999998</v>
      </c>
      <c r="P222" s="711">
        <f t="shared" si="782"/>
        <v>715296.86999999988</v>
      </c>
      <c r="Q222" s="711">
        <f t="shared" si="782"/>
        <v>732579.4439999999</v>
      </c>
      <c r="R222" s="711">
        <f t="shared" si="782"/>
        <v>746654.04</v>
      </c>
      <c r="S222" s="711">
        <f t="shared" si="782"/>
        <v>763936.61400000006</v>
      </c>
      <c r="T222" s="711">
        <f t="shared" si="782"/>
        <v>778011.21</v>
      </c>
      <c r="U222" s="711">
        <f t="shared" si="782"/>
        <v>795293.78399999999</v>
      </c>
      <c r="V222" s="711">
        <f t="shared" si="782"/>
        <v>809716.5</v>
      </c>
      <c r="W222" s="711">
        <f t="shared" si="782"/>
        <v>826999.07400000002</v>
      </c>
      <c r="X222" s="711">
        <f t="shared" si="782"/>
        <v>841073.66999999993</v>
      </c>
      <c r="Y222" s="711">
        <f t="shared" si="782"/>
        <v>858356.24399999995</v>
      </c>
      <c r="Z222" s="711">
        <f t="shared" si="782"/>
        <v>872430.84</v>
      </c>
      <c r="AA222" s="711">
        <f t="shared" si="782"/>
        <v>889713.41399999999</v>
      </c>
      <c r="AB222" s="711">
        <f t="shared" si="782"/>
        <v>907692.228</v>
      </c>
      <c r="AC222" s="711">
        <f t="shared" si="782"/>
        <v>922811.18400000001</v>
      </c>
      <c r="AD222" s="711">
        <f t="shared" si="782"/>
        <v>940789.99799999991</v>
      </c>
      <c r="AE222" s="711">
        <f t="shared" si="782"/>
        <v>958768.81199999992</v>
      </c>
      <c r="AF222" s="711">
        <f t="shared" si="782"/>
        <v>978836.34600000014</v>
      </c>
      <c r="AG222" s="711">
        <f t="shared" si="782"/>
        <v>998555.76</v>
      </c>
      <c r="AH222" s="711">
        <f>SUM(AH220:AH221)</f>
        <v>1021831.272</v>
      </c>
      <c r="AI222" s="711">
        <f>SUM(AI220:AI221)</f>
        <v>1041550.6859999999</v>
      </c>
      <c r="AL222" s="113"/>
      <c r="AN222" s="133"/>
      <c r="AO222" s="112"/>
      <c r="AP222" s="133"/>
      <c r="AQ222" s="112"/>
      <c r="AR222" s="133"/>
    </row>
    <row r="223" spans="1:252" s="136" customFormat="1" x14ac:dyDescent="0.2">
      <c r="A223" s="57" t="s">
        <v>86</v>
      </c>
      <c r="B223" s="730">
        <f>'Saimnieciskas pamatdarbibas NP'!B86</f>
        <v>477394.9</v>
      </c>
      <c r="C223" s="730">
        <f>'Saimnieciskas pamatdarbibas NP'!C86</f>
        <v>491716.74329999997</v>
      </c>
      <c r="D223" s="730">
        <f>'Saimnieciskas pamatdarbibas NP'!D86</f>
        <v>515892.47999999998</v>
      </c>
      <c r="E223" s="730">
        <f>'Saimnieciskas pamatdarbibas NP'!E86</f>
        <v>527179.72</v>
      </c>
      <c r="F223" s="730">
        <f>'Saimnieciskas pamatdarbibas NP'!F86</f>
        <v>536977.88</v>
      </c>
      <c r="G223" s="730">
        <f>'Saimnieciskas pamatdarbibas NP'!G86</f>
        <v>546776.04</v>
      </c>
      <c r="H223" s="730">
        <f>'Saimnieciskas pamatdarbibas NP'!H86</f>
        <v>556574.19999999995</v>
      </c>
      <c r="I223" s="730">
        <f>'Saimnieciskas pamatdarbibas NP'!I86</f>
        <v>566372.36</v>
      </c>
      <c r="J223" s="730">
        <f>'Saimnieciskas pamatdarbibas NP'!J86</f>
        <v>576170.52</v>
      </c>
      <c r="K223" s="730">
        <f>'Saimnieciskas pamatdarbibas NP'!K86</f>
        <v>585968.67999999993</v>
      </c>
      <c r="L223" s="730">
        <f>'Saimnieciskas pamatdarbibas NP'!L86</f>
        <v>597255.91999999993</v>
      </c>
      <c r="M223" s="730">
        <f>'Saimnieciskas pamatdarbibas NP'!M86</f>
        <v>608543.16</v>
      </c>
      <c r="N223" s="730">
        <f>'Saimnieciskas pamatdarbibas NP'!N86</f>
        <v>619830.4</v>
      </c>
      <c r="O223" s="730">
        <f>'Saimnieciskas pamatdarbibas NP'!O86</f>
        <v>634527.64</v>
      </c>
      <c r="P223" s="730">
        <f>'Saimnieciskas pamatdarbibas NP'!P86</f>
        <v>649224.88</v>
      </c>
      <c r="Q223" s="730">
        <f>'Saimnieciskas pamatdarbibas NP'!Q86</f>
        <v>663922.12</v>
      </c>
      <c r="R223" s="730">
        <f>'Saimnieciskas pamatdarbibas NP'!R86</f>
        <v>678619.36</v>
      </c>
      <c r="S223" s="730">
        <f>'Saimnieciskas pamatdarbibas NP'!S86</f>
        <v>693316.6</v>
      </c>
      <c r="T223" s="730">
        <f>'Saimnieciskas pamatdarbibas NP'!T86</f>
        <v>708013.84</v>
      </c>
      <c r="U223" s="730">
        <f>'Saimnieciskas pamatdarbibas NP'!U86</f>
        <v>722711.08000000007</v>
      </c>
      <c r="V223" s="730">
        <f>'Saimnieciskas pamatdarbibas NP'!V86</f>
        <v>737408.32000000007</v>
      </c>
      <c r="W223" s="730">
        <f>'Saimnieciskas pamatdarbibas NP'!W86</f>
        <v>752105.56</v>
      </c>
      <c r="X223" s="730">
        <f>'Saimnieciskas pamatdarbibas NP'!X86</f>
        <v>766802.8</v>
      </c>
      <c r="Y223" s="730">
        <f>'Saimnieciskas pamatdarbibas NP'!Y86</f>
        <v>781500.04</v>
      </c>
      <c r="Z223" s="730">
        <f>'Saimnieciskas pamatdarbibas NP'!Z86</f>
        <v>796197.28</v>
      </c>
      <c r="AA223" s="730">
        <f>'Saimnieciskas pamatdarbibas NP'!AA86</f>
        <v>810894.52</v>
      </c>
      <c r="AB223" s="730">
        <f>'Saimnieciskas pamatdarbibas NP'!AB86</f>
        <v>827080.84</v>
      </c>
      <c r="AC223" s="730">
        <f>'Saimnieciskas pamatdarbibas NP'!AC86</f>
        <v>843267.16</v>
      </c>
      <c r="AD223" s="730">
        <f>'Saimnieciskas pamatdarbibas NP'!AD86</f>
        <v>859453.48</v>
      </c>
      <c r="AE223" s="730">
        <f>'Saimnieciskas pamatdarbibas NP'!AE86</f>
        <v>875639.8</v>
      </c>
      <c r="AF223" s="730">
        <f>'Saimnieciskas pamatdarbibas NP'!AF86</f>
        <v>895236.12</v>
      </c>
      <c r="AG223" s="730">
        <f>'Saimnieciskas pamatdarbibas NP'!AG86</f>
        <v>914832.44</v>
      </c>
      <c r="AH223" s="730">
        <f>'Saimnieciskas pamatdarbibas NP'!AH86</f>
        <v>934428.76</v>
      </c>
      <c r="AI223" s="730">
        <f>'Saimnieciskas pamatdarbibas NP'!AI86</f>
        <v>954025.08</v>
      </c>
      <c r="AL223" s="113"/>
      <c r="AN223" s="133"/>
      <c r="AO223" s="112"/>
      <c r="AP223" s="133"/>
      <c r="AQ223" s="112"/>
      <c r="AR223" s="133"/>
    </row>
    <row r="224" spans="1:252" s="136" customFormat="1" x14ac:dyDescent="0.2">
      <c r="A224" s="57" t="s">
        <v>139</v>
      </c>
      <c r="B224" s="730">
        <f>Aprekini!B199</f>
        <v>0</v>
      </c>
      <c r="C224" s="730">
        <f>Aprekini!C199</f>
        <v>246585</v>
      </c>
      <c r="D224" s="730">
        <f>Aprekini!D199</f>
        <v>36400</v>
      </c>
      <c r="E224" s="730">
        <f>Aprekini!E199</f>
        <v>0</v>
      </c>
      <c r="F224" s="730">
        <f>Aprekini!F199</f>
        <v>0</v>
      </c>
      <c r="G224" s="730">
        <f>Aprekini!G199</f>
        <v>0</v>
      </c>
      <c r="H224" s="730">
        <f>Aprekini!H199</f>
        <v>0</v>
      </c>
      <c r="I224" s="730">
        <f>Aprekini!I199</f>
        <v>0</v>
      </c>
      <c r="J224" s="730">
        <f>Aprekini!J199</f>
        <v>0</v>
      </c>
      <c r="K224" s="730">
        <f>Aprekini!K199</f>
        <v>0</v>
      </c>
      <c r="L224" s="730">
        <f>Aprekini!L199</f>
        <v>0</v>
      </c>
      <c r="M224" s="730">
        <f>Aprekini!M199</f>
        <v>0</v>
      </c>
      <c r="N224" s="730">
        <f>Aprekini!N199</f>
        <v>0</v>
      </c>
      <c r="O224" s="730">
        <f>Aprekini!O199</f>
        <v>0</v>
      </c>
      <c r="P224" s="730">
        <f>Aprekini!P199</f>
        <v>0</v>
      </c>
      <c r="Q224" s="730">
        <f>Aprekini!Q199</f>
        <v>0</v>
      </c>
      <c r="R224" s="730">
        <f>Aprekini!R199</f>
        <v>0</v>
      </c>
      <c r="S224" s="730">
        <f>Aprekini!S199</f>
        <v>0</v>
      </c>
      <c r="T224" s="730">
        <f>Aprekini!T199</f>
        <v>0</v>
      </c>
      <c r="U224" s="730">
        <f>Aprekini!U199</f>
        <v>0</v>
      </c>
      <c r="V224" s="730">
        <f>Aprekini!V199</f>
        <v>0</v>
      </c>
      <c r="W224" s="730">
        <f>Aprekini!W199</f>
        <v>0</v>
      </c>
      <c r="X224" s="730">
        <f>Aprekini!X199</f>
        <v>0</v>
      </c>
      <c r="Y224" s="730">
        <f>Aprekini!Y199</f>
        <v>0</v>
      </c>
      <c r="Z224" s="730">
        <f>Aprekini!Z199</f>
        <v>0</v>
      </c>
      <c r="AA224" s="730">
        <f>Aprekini!AA199</f>
        <v>0</v>
      </c>
      <c r="AB224" s="730">
        <f>Aprekini!AB199</f>
        <v>0</v>
      </c>
      <c r="AC224" s="730">
        <f>Aprekini!AC199</f>
        <v>0</v>
      </c>
      <c r="AD224" s="730">
        <f>Aprekini!AD199</f>
        <v>0</v>
      </c>
      <c r="AE224" s="730">
        <f>Aprekini!AE199</f>
        <v>0</v>
      </c>
      <c r="AF224" s="730">
        <f>Aprekini!AF199</f>
        <v>0</v>
      </c>
      <c r="AG224" s="730">
        <f>Aprekini!AG199</f>
        <v>0</v>
      </c>
      <c r="AH224" s="730">
        <f>Aprekini!AH199</f>
        <v>0</v>
      </c>
      <c r="AI224" s="730">
        <f>Aprekini!AI199</f>
        <v>0</v>
      </c>
      <c r="AL224" s="113"/>
      <c r="AN224" s="133"/>
      <c r="AO224" s="112"/>
      <c r="AP224" s="133"/>
      <c r="AQ224" s="112"/>
      <c r="AR224" s="133"/>
    </row>
    <row r="225" spans="1:252" s="136" customFormat="1" x14ac:dyDescent="0.2">
      <c r="A225" s="190" t="s">
        <v>408</v>
      </c>
      <c r="B225" s="709">
        <f>Aprekini!B307</f>
        <v>0</v>
      </c>
      <c r="C225" s="730">
        <f>Aprekini!C307</f>
        <v>0</v>
      </c>
      <c r="D225" s="730">
        <f>Aprekini!D307</f>
        <v>2000</v>
      </c>
      <c r="E225" s="730">
        <f>Aprekini!E307</f>
        <v>2000</v>
      </c>
      <c r="F225" s="730">
        <f>Aprekini!F307</f>
        <v>1800</v>
      </c>
      <c r="G225" s="730">
        <f>Aprekini!G307</f>
        <v>1600</v>
      </c>
      <c r="H225" s="730">
        <f>Aprekini!H307</f>
        <v>1400</v>
      </c>
      <c r="I225" s="730">
        <f>Aprekini!I307</f>
        <v>1200</v>
      </c>
      <c r="J225" s="730">
        <f>Aprekini!J307</f>
        <v>1000</v>
      </c>
      <c r="K225" s="730">
        <f>Aprekini!K307</f>
        <v>800</v>
      </c>
      <c r="L225" s="730">
        <f>Aprekini!L307</f>
        <v>600</v>
      </c>
      <c r="M225" s="730">
        <f>Aprekini!M307</f>
        <v>400</v>
      </c>
      <c r="N225" s="730">
        <f>Aprekini!N307</f>
        <v>200</v>
      </c>
      <c r="O225" s="730">
        <f>Aprekini!O307</f>
        <v>0</v>
      </c>
      <c r="P225" s="730">
        <f>Aprekini!P307</f>
        <v>0</v>
      </c>
      <c r="Q225" s="730">
        <f>Aprekini!Q307</f>
        <v>0</v>
      </c>
      <c r="R225" s="730">
        <f>Aprekini!R307</f>
        <v>0</v>
      </c>
      <c r="S225" s="730">
        <f>Aprekini!S307</f>
        <v>0</v>
      </c>
      <c r="T225" s="730">
        <f>Aprekini!T307</f>
        <v>0</v>
      </c>
      <c r="U225" s="730">
        <f>Aprekini!U307</f>
        <v>0</v>
      </c>
      <c r="V225" s="730">
        <f>Aprekini!V307</f>
        <v>0</v>
      </c>
      <c r="W225" s="730">
        <f>Aprekini!W307</f>
        <v>0</v>
      </c>
      <c r="X225" s="730">
        <f>Aprekini!X307</f>
        <v>0</v>
      </c>
      <c r="Y225" s="730">
        <f>Aprekini!Y307</f>
        <v>0</v>
      </c>
      <c r="Z225" s="730">
        <f>Aprekini!Z307</f>
        <v>0</v>
      </c>
      <c r="AA225" s="730">
        <f>Aprekini!AA307</f>
        <v>0</v>
      </c>
      <c r="AB225" s="730">
        <f>Aprekini!AB307</f>
        <v>0</v>
      </c>
      <c r="AC225" s="730">
        <f>Aprekini!AC307</f>
        <v>0</v>
      </c>
      <c r="AD225" s="730">
        <f>Aprekini!AD307</f>
        <v>0</v>
      </c>
      <c r="AE225" s="730">
        <f>Aprekini!AE307</f>
        <v>0</v>
      </c>
      <c r="AF225" s="730">
        <f>Aprekini!AF307</f>
        <v>0</v>
      </c>
      <c r="AG225" s="730">
        <f>Aprekini!AG307</f>
        <v>0</v>
      </c>
      <c r="AH225" s="730">
        <f>Aprekini!AH307</f>
        <v>0</v>
      </c>
      <c r="AI225" s="730">
        <f>Aprekini!AI307</f>
        <v>0</v>
      </c>
      <c r="AL225" s="113"/>
      <c r="AN225" s="133"/>
      <c r="AO225" s="112"/>
      <c r="AP225" s="133"/>
      <c r="AQ225" s="112"/>
      <c r="AR225" s="133"/>
    </row>
    <row r="226" spans="1:252" s="136" customFormat="1" x14ac:dyDescent="0.2">
      <c r="A226" s="190" t="s">
        <v>409</v>
      </c>
      <c r="B226" s="709">
        <f>Aprekini!B308</f>
        <v>0</v>
      </c>
      <c r="C226" s="730">
        <f>Aprekini!C308</f>
        <v>0</v>
      </c>
      <c r="D226" s="730">
        <f>Aprekini!D308</f>
        <v>0</v>
      </c>
      <c r="E226" s="730">
        <f>Aprekini!E308</f>
        <v>5000</v>
      </c>
      <c r="F226" s="730">
        <f>Aprekini!F308</f>
        <v>5000</v>
      </c>
      <c r="G226" s="730">
        <f>Aprekini!G308</f>
        <v>5000</v>
      </c>
      <c r="H226" s="730">
        <f>Aprekini!H308</f>
        <v>5000</v>
      </c>
      <c r="I226" s="730">
        <f>Aprekini!I308</f>
        <v>5000</v>
      </c>
      <c r="J226" s="730">
        <f>Aprekini!J308</f>
        <v>5000</v>
      </c>
      <c r="K226" s="730">
        <f>Aprekini!K308</f>
        <v>5000</v>
      </c>
      <c r="L226" s="730">
        <f>Aprekini!L308</f>
        <v>5000</v>
      </c>
      <c r="M226" s="730">
        <f>Aprekini!M308</f>
        <v>5000</v>
      </c>
      <c r="N226" s="730">
        <f>Aprekini!N308</f>
        <v>5000</v>
      </c>
      <c r="O226" s="730">
        <f>Aprekini!O308</f>
        <v>0</v>
      </c>
      <c r="P226" s="730">
        <f>Aprekini!P308</f>
        <v>0</v>
      </c>
      <c r="Q226" s="730">
        <f>Aprekini!Q308</f>
        <v>0</v>
      </c>
      <c r="R226" s="730">
        <f>Aprekini!R308</f>
        <v>0</v>
      </c>
      <c r="S226" s="730">
        <f>Aprekini!S308</f>
        <v>0</v>
      </c>
      <c r="T226" s="730">
        <f>Aprekini!T308</f>
        <v>0</v>
      </c>
      <c r="U226" s="730">
        <f>Aprekini!U308</f>
        <v>0</v>
      </c>
      <c r="V226" s="730">
        <f>Aprekini!V308</f>
        <v>0</v>
      </c>
      <c r="W226" s="730">
        <f>Aprekini!W308</f>
        <v>0</v>
      </c>
      <c r="X226" s="730">
        <f>Aprekini!X308</f>
        <v>0</v>
      </c>
      <c r="Y226" s="730">
        <f>Aprekini!Y308</f>
        <v>0</v>
      </c>
      <c r="Z226" s="730">
        <f>Aprekini!Z308</f>
        <v>0</v>
      </c>
      <c r="AA226" s="730">
        <f>Aprekini!AA308</f>
        <v>0</v>
      </c>
      <c r="AB226" s="730">
        <f>Aprekini!AB308</f>
        <v>0</v>
      </c>
      <c r="AC226" s="730">
        <f>Aprekini!AC308</f>
        <v>0</v>
      </c>
      <c r="AD226" s="730">
        <f>Aprekini!AD308</f>
        <v>0</v>
      </c>
      <c r="AE226" s="730">
        <f>Aprekini!AE308</f>
        <v>0</v>
      </c>
      <c r="AF226" s="730">
        <f>Aprekini!AF308</f>
        <v>0</v>
      </c>
      <c r="AG226" s="730">
        <f>Aprekini!AG308</f>
        <v>0</v>
      </c>
      <c r="AH226" s="730">
        <f>Aprekini!AH308</f>
        <v>0</v>
      </c>
      <c r="AI226" s="730">
        <f>Aprekini!AI308</f>
        <v>0</v>
      </c>
      <c r="AL226" s="113"/>
      <c r="AN226" s="133"/>
      <c r="AO226" s="112"/>
      <c r="AP226" s="133"/>
      <c r="AQ226" s="112"/>
      <c r="AR226" s="133"/>
    </row>
    <row r="227" spans="1:252" s="136" customFormat="1" x14ac:dyDescent="0.2">
      <c r="A227" s="59" t="s">
        <v>140</v>
      </c>
      <c r="B227" s="711">
        <f t="shared" ref="B227:AH227" si="783">SUM(B223:B226)</f>
        <v>477394.9</v>
      </c>
      <c r="C227" s="711">
        <f t="shared" si="783"/>
        <v>738301.74329999997</v>
      </c>
      <c r="D227" s="711">
        <f t="shared" si="783"/>
        <v>554292.47999999998</v>
      </c>
      <c r="E227" s="711">
        <f t="shared" si="783"/>
        <v>534179.72</v>
      </c>
      <c r="F227" s="711">
        <f t="shared" si="783"/>
        <v>543777.88</v>
      </c>
      <c r="G227" s="711">
        <f t="shared" si="783"/>
        <v>553376.04</v>
      </c>
      <c r="H227" s="711">
        <f t="shared" si="783"/>
        <v>562974.19999999995</v>
      </c>
      <c r="I227" s="711">
        <f t="shared" si="783"/>
        <v>572572.36</v>
      </c>
      <c r="J227" s="711">
        <f t="shared" si="783"/>
        <v>582170.52</v>
      </c>
      <c r="K227" s="711">
        <f t="shared" si="783"/>
        <v>591768.67999999993</v>
      </c>
      <c r="L227" s="711">
        <f t="shared" si="783"/>
        <v>602855.91999999993</v>
      </c>
      <c r="M227" s="711">
        <f t="shared" si="783"/>
        <v>613943.16</v>
      </c>
      <c r="N227" s="711">
        <f t="shared" si="783"/>
        <v>625030.40000000002</v>
      </c>
      <c r="O227" s="711">
        <f t="shared" si="783"/>
        <v>634527.64</v>
      </c>
      <c r="P227" s="711">
        <f t="shared" si="783"/>
        <v>649224.88</v>
      </c>
      <c r="Q227" s="711">
        <f t="shared" si="783"/>
        <v>663922.12</v>
      </c>
      <c r="R227" s="711">
        <f t="shared" si="783"/>
        <v>678619.36</v>
      </c>
      <c r="S227" s="711">
        <f t="shared" si="783"/>
        <v>693316.6</v>
      </c>
      <c r="T227" s="711">
        <f t="shared" si="783"/>
        <v>708013.84</v>
      </c>
      <c r="U227" s="711">
        <f t="shared" si="783"/>
        <v>722711.08000000007</v>
      </c>
      <c r="V227" s="711">
        <f t="shared" si="783"/>
        <v>737408.32000000007</v>
      </c>
      <c r="W227" s="711">
        <f t="shared" si="783"/>
        <v>752105.56</v>
      </c>
      <c r="X227" s="711">
        <f t="shared" si="783"/>
        <v>766802.8</v>
      </c>
      <c r="Y227" s="711">
        <f t="shared" si="783"/>
        <v>781500.04</v>
      </c>
      <c r="Z227" s="711">
        <f t="shared" si="783"/>
        <v>796197.28</v>
      </c>
      <c r="AA227" s="711">
        <f t="shared" si="783"/>
        <v>810894.52</v>
      </c>
      <c r="AB227" s="711">
        <f t="shared" si="783"/>
        <v>827080.84</v>
      </c>
      <c r="AC227" s="711">
        <f t="shared" si="783"/>
        <v>843267.16</v>
      </c>
      <c r="AD227" s="711">
        <f t="shared" si="783"/>
        <v>859453.48</v>
      </c>
      <c r="AE227" s="711">
        <f t="shared" si="783"/>
        <v>875639.8</v>
      </c>
      <c r="AF227" s="711">
        <f t="shared" si="783"/>
        <v>895236.12</v>
      </c>
      <c r="AG227" s="711">
        <f t="shared" si="783"/>
        <v>914832.44</v>
      </c>
      <c r="AH227" s="711">
        <f t="shared" si="783"/>
        <v>934428.76</v>
      </c>
      <c r="AI227" s="711">
        <f>SUM(AI223:AI226)</f>
        <v>954025.08</v>
      </c>
      <c r="AL227" s="113"/>
      <c r="AN227" s="133"/>
      <c r="AO227" s="112"/>
      <c r="AP227" s="133"/>
      <c r="AQ227" s="112"/>
      <c r="AR227" s="133"/>
    </row>
    <row r="228" spans="1:252" s="136" customFormat="1" x14ac:dyDescent="0.2">
      <c r="A228" s="59" t="s">
        <v>141</v>
      </c>
      <c r="B228" s="711">
        <f t="shared" ref="B228:AH228" si="784">B222-B227</f>
        <v>203949.89599999995</v>
      </c>
      <c r="C228" s="711">
        <f t="shared" si="784"/>
        <v>129148.05070000002</v>
      </c>
      <c r="D228" s="711">
        <f t="shared" si="784"/>
        <v>65378.801999999909</v>
      </c>
      <c r="E228" s="711">
        <f t="shared" si="784"/>
        <v>68370.58600000001</v>
      </c>
      <c r="F228" s="711">
        <f t="shared" si="784"/>
        <v>67202.204000000027</v>
      </c>
      <c r="G228" s="711">
        <f t="shared" si="784"/>
        <v>68893.679999999935</v>
      </c>
      <c r="H228" s="711">
        <f t="shared" si="784"/>
        <v>70933.276000000071</v>
      </c>
      <c r="I228" s="711">
        <f t="shared" si="784"/>
        <v>69416.774000000092</v>
      </c>
      <c r="J228" s="711">
        <f t="shared" si="784"/>
        <v>71456.369999999879</v>
      </c>
      <c r="K228" s="711">
        <f t="shared" si="784"/>
        <v>73147.84600000002</v>
      </c>
      <c r="L228" s="711">
        <f t="shared" si="784"/>
        <v>74394.602000000072</v>
      </c>
      <c r="M228" s="711">
        <f t="shared" si="784"/>
        <v>72433.38</v>
      </c>
      <c r="N228" s="711">
        <f t="shared" si="784"/>
        <v>63857.878000000026</v>
      </c>
      <c r="O228" s="711">
        <f t="shared" si="784"/>
        <v>66694.633999999962</v>
      </c>
      <c r="P228" s="711">
        <f t="shared" si="784"/>
        <v>66071.989999999874</v>
      </c>
      <c r="Q228" s="711">
        <f t="shared" si="784"/>
        <v>68657.323999999906</v>
      </c>
      <c r="R228" s="711">
        <f t="shared" si="784"/>
        <v>68034.680000000051</v>
      </c>
      <c r="S228" s="711">
        <f t="shared" si="784"/>
        <v>70620.014000000083</v>
      </c>
      <c r="T228" s="711">
        <f t="shared" si="784"/>
        <v>69997.37</v>
      </c>
      <c r="U228" s="711">
        <f t="shared" si="784"/>
        <v>72582.703999999911</v>
      </c>
      <c r="V228" s="711">
        <f t="shared" si="784"/>
        <v>72308.179999999935</v>
      </c>
      <c r="W228" s="711">
        <f t="shared" si="784"/>
        <v>74893.513999999966</v>
      </c>
      <c r="X228" s="711">
        <f t="shared" si="784"/>
        <v>74270.869999999879</v>
      </c>
      <c r="Y228" s="711">
        <f t="shared" si="784"/>
        <v>76856.203999999911</v>
      </c>
      <c r="Z228" s="711">
        <f t="shared" si="784"/>
        <v>76233.559999999939</v>
      </c>
      <c r="AA228" s="711">
        <f t="shared" si="784"/>
        <v>78818.893999999971</v>
      </c>
      <c r="AB228" s="711">
        <f t="shared" si="784"/>
        <v>80611.388000000035</v>
      </c>
      <c r="AC228" s="711">
        <f t="shared" si="784"/>
        <v>79544.023999999976</v>
      </c>
      <c r="AD228" s="711">
        <f t="shared" si="784"/>
        <v>81336.517999999924</v>
      </c>
      <c r="AE228" s="711">
        <f t="shared" si="784"/>
        <v>83129.011999999871</v>
      </c>
      <c r="AF228" s="711">
        <f t="shared" si="784"/>
        <v>83600.226000000141</v>
      </c>
      <c r="AG228" s="711">
        <f t="shared" si="784"/>
        <v>83723.320000000065</v>
      </c>
      <c r="AH228" s="711">
        <f t="shared" si="784"/>
        <v>87402.511999999988</v>
      </c>
      <c r="AI228" s="711">
        <f>AI222-AI227</f>
        <v>87525.605999999912</v>
      </c>
      <c r="AL228" s="113"/>
      <c r="AN228" s="133"/>
      <c r="AO228" s="112"/>
      <c r="AP228" s="133"/>
      <c r="AQ228" s="112"/>
      <c r="AR228" s="133"/>
    </row>
    <row r="229" spans="1:252" s="136" customFormat="1" ht="25.5" x14ac:dyDescent="0.2">
      <c r="A229" s="59" t="s">
        <v>142</v>
      </c>
      <c r="B229" s="711">
        <f t="shared" ref="B229:AG229" si="785">IF(B228&gt;=0,0,-B228)</f>
        <v>0</v>
      </c>
      <c r="C229" s="711">
        <f t="shared" si="785"/>
        <v>0</v>
      </c>
      <c r="D229" s="711">
        <f t="shared" si="785"/>
        <v>0</v>
      </c>
      <c r="E229" s="711">
        <f t="shared" si="785"/>
        <v>0</v>
      </c>
      <c r="F229" s="711">
        <f t="shared" si="785"/>
        <v>0</v>
      </c>
      <c r="G229" s="711">
        <f t="shared" si="785"/>
        <v>0</v>
      </c>
      <c r="H229" s="711">
        <f t="shared" si="785"/>
        <v>0</v>
      </c>
      <c r="I229" s="711">
        <f t="shared" si="785"/>
        <v>0</v>
      </c>
      <c r="J229" s="711">
        <f t="shared" si="785"/>
        <v>0</v>
      </c>
      <c r="K229" s="711">
        <f t="shared" si="785"/>
        <v>0</v>
      </c>
      <c r="L229" s="711">
        <f t="shared" si="785"/>
        <v>0</v>
      </c>
      <c r="M229" s="711">
        <f t="shared" si="785"/>
        <v>0</v>
      </c>
      <c r="N229" s="711">
        <f t="shared" si="785"/>
        <v>0</v>
      </c>
      <c r="O229" s="711">
        <f t="shared" si="785"/>
        <v>0</v>
      </c>
      <c r="P229" s="711">
        <f t="shared" si="785"/>
        <v>0</v>
      </c>
      <c r="Q229" s="711">
        <f t="shared" si="785"/>
        <v>0</v>
      </c>
      <c r="R229" s="711">
        <f t="shared" si="785"/>
        <v>0</v>
      </c>
      <c r="S229" s="711">
        <f t="shared" si="785"/>
        <v>0</v>
      </c>
      <c r="T229" s="711">
        <f t="shared" si="785"/>
        <v>0</v>
      </c>
      <c r="U229" s="711">
        <f t="shared" si="785"/>
        <v>0</v>
      </c>
      <c r="V229" s="711">
        <f t="shared" si="785"/>
        <v>0</v>
      </c>
      <c r="W229" s="711">
        <f t="shared" si="785"/>
        <v>0</v>
      </c>
      <c r="X229" s="711">
        <f t="shared" si="785"/>
        <v>0</v>
      </c>
      <c r="Y229" s="711">
        <f t="shared" si="785"/>
        <v>0</v>
      </c>
      <c r="Z229" s="711">
        <f t="shared" si="785"/>
        <v>0</v>
      </c>
      <c r="AA229" s="711">
        <f t="shared" si="785"/>
        <v>0</v>
      </c>
      <c r="AB229" s="711">
        <f t="shared" si="785"/>
        <v>0</v>
      </c>
      <c r="AC229" s="711">
        <f t="shared" si="785"/>
        <v>0</v>
      </c>
      <c r="AD229" s="711">
        <f t="shared" si="785"/>
        <v>0</v>
      </c>
      <c r="AE229" s="711">
        <f t="shared" si="785"/>
        <v>0</v>
      </c>
      <c r="AF229" s="711">
        <f t="shared" si="785"/>
        <v>0</v>
      </c>
      <c r="AG229" s="711">
        <f t="shared" si="785"/>
        <v>0</v>
      </c>
      <c r="AH229" s="711">
        <f>IF(AH228&gt;=0,0,-AH228)</f>
        <v>0</v>
      </c>
      <c r="AI229" s="711">
        <f>IF(AI228&gt;=0,0,-AI228)</f>
        <v>0</v>
      </c>
      <c r="AL229" s="113"/>
      <c r="AN229" s="133"/>
      <c r="AO229" s="112"/>
      <c r="AP229" s="133"/>
      <c r="AQ229" s="112"/>
      <c r="AR229" s="133"/>
    </row>
    <row r="230" spans="1:252" s="136" customFormat="1" x14ac:dyDescent="0.2">
      <c r="A230" s="59" t="s">
        <v>143</v>
      </c>
      <c r="B230" s="711">
        <f>B228</f>
        <v>203949.89599999995</v>
      </c>
      <c r="C230" s="711">
        <f t="shared" ref="C230:AG230" si="786">B230+C228+C229</f>
        <v>333097.94669999997</v>
      </c>
      <c r="D230" s="711">
        <f t="shared" si="786"/>
        <v>398476.74869999988</v>
      </c>
      <c r="E230" s="711">
        <f t="shared" si="786"/>
        <v>466847.33469999989</v>
      </c>
      <c r="F230" s="711">
        <f t="shared" si="786"/>
        <v>534049.53869999992</v>
      </c>
      <c r="G230" s="711">
        <f t="shared" si="786"/>
        <v>602943.21869999985</v>
      </c>
      <c r="H230" s="711">
        <f t="shared" si="786"/>
        <v>673876.49469999992</v>
      </c>
      <c r="I230" s="711">
        <f t="shared" si="786"/>
        <v>743293.26870000002</v>
      </c>
      <c r="J230" s="711">
        <f t="shared" si="786"/>
        <v>814749.63869999989</v>
      </c>
      <c r="K230" s="711">
        <f t="shared" si="786"/>
        <v>887897.48469999991</v>
      </c>
      <c r="L230" s="711">
        <f t="shared" si="786"/>
        <v>962292.08669999999</v>
      </c>
      <c r="M230" s="711">
        <f t="shared" si="786"/>
        <v>1034725.4667</v>
      </c>
      <c r="N230" s="711">
        <f t="shared" si="786"/>
        <v>1098583.3447</v>
      </c>
      <c r="O230" s="711">
        <f t="shared" si="786"/>
        <v>1165277.9786999999</v>
      </c>
      <c r="P230" s="711">
        <f t="shared" si="786"/>
        <v>1231349.9686999996</v>
      </c>
      <c r="Q230" s="711">
        <f t="shared" si="786"/>
        <v>1300007.2926999996</v>
      </c>
      <c r="R230" s="711">
        <f t="shared" si="786"/>
        <v>1368041.9726999998</v>
      </c>
      <c r="S230" s="711">
        <f t="shared" si="786"/>
        <v>1438661.9866999998</v>
      </c>
      <c r="T230" s="711">
        <f t="shared" si="786"/>
        <v>1508659.3566999999</v>
      </c>
      <c r="U230" s="711">
        <f t="shared" si="786"/>
        <v>1581242.0606999998</v>
      </c>
      <c r="V230" s="711">
        <f t="shared" si="786"/>
        <v>1653550.2406999997</v>
      </c>
      <c r="W230" s="711">
        <f t="shared" si="786"/>
        <v>1728443.7546999997</v>
      </c>
      <c r="X230" s="711">
        <f t="shared" si="786"/>
        <v>1802714.6246999996</v>
      </c>
      <c r="Y230" s="711">
        <f t="shared" si="786"/>
        <v>1879570.8286999995</v>
      </c>
      <c r="Z230" s="711">
        <f t="shared" si="786"/>
        <v>1955804.3886999995</v>
      </c>
      <c r="AA230" s="711">
        <f t="shared" si="786"/>
        <v>2034623.2826999994</v>
      </c>
      <c r="AB230" s="711">
        <f t="shared" si="786"/>
        <v>2115234.6706999997</v>
      </c>
      <c r="AC230" s="711">
        <f t="shared" si="786"/>
        <v>2194778.6946999999</v>
      </c>
      <c r="AD230" s="711">
        <f t="shared" si="786"/>
        <v>2276115.2127</v>
      </c>
      <c r="AE230" s="711">
        <f t="shared" si="786"/>
        <v>2359244.2247000001</v>
      </c>
      <c r="AF230" s="711">
        <f t="shared" si="786"/>
        <v>2442844.4507000004</v>
      </c>
      <c r="AG230" s="711">
        <f t="shared" si="786"/>
        <v>2526567.7707000002</v>
      </c>
      <c r="AH230" s="711">
        <f>AG230+AH228+AH229</f>
        <v>2613970.2827000003</v>
      </c>
      <c r="AI230" s="711">
        <f>AH230+AI228+AI229</f>
        <v>2701495.8887</v>
      </c>
      <c r="AL230" s="113"/>
      <c r="AN230" s="133"/>
      <c r="AO230" s="112"/>
      <c r="AP230" s="133"/>
      <c r="AQ230" s="112"/>
      <c r="AR230" s="133"/>
    </row>
    <row r="231" spans="1:252" s="136" customFormat="1" x14ac:dyDescent="0.2">
      <c r="AL231" s="113"/>
      <c r="AN231" s="133"/>
      <c r="AO231" s="112"/>
      <c r="AP231" s="133"/>
      <c r="AQ231" s="112"/>
      <c r="AR231" s="133"/>
    </row>
    <row r="232" spans="1:252" s="136" customFormat="1" x14ac:dyDescent="0.2">
      <c r="AL232" s="113"/>
      <c r="AN232" s="133"/>
      <c r="AO232" s="112"/>
      <c r="AP232" s="133"/>
      <c r="AQ232" s="112"/>
      <c r="AR232" s="133"/>
    </row>
    <row r="233" spans="1:252" s="136" customFormat="1" ht="31.5" x14ac:dyDescent="0.2">
      <c r="A233" s="167" t="s">
        <v>289</v>
      </c>
      <c r="B233" s="169"/>
      <c r="C233" s="169"/>
      <c r="D233" s="169"/>
      <c r="E233" s="169"/>
      <c r="F233" s="169"/>
      <c r="G233" s="169"/>
      <c r="H233" s="169"/>
      <c r="I233" s="169"/>
      <c r="J233" s="169"/>
      <c r="K233" s="169"/>
      <c r="L233" s="169"/>
      <c r="M233" s="169"/>
      <c r="N233" s="169"/>
      <c r="O233" s="169"/>
      <c r="P233" s="170"/>
      <c r="Q233" s="170"/>
      <c r="R233" s="170"/>
      <c r="S233" s="170"/>
      <c r="T233" s="170"/>
      <c r="U233" s="170"/>
      <c r="V233" s="170"/>
      <c r="W233" s="170"/>
      <c r="X233" s="170"/>
      <c r="Y233" s="170"/>
      <c r="Z233" s="170"/>
      <c r="AA233" s="170"/>
      <c r="AB233" s="170"/>
      <c r="AC233" s="170"/>
      <c r="AD233" s="170"/>
      <c r="AE233" s="170"/>
      <c r="AF233" s="170"/>
      <c r="AG233" s="170"/>
      <c r="AH233" s="170"/>
      <c r="AI233" s="170"/>
      <c r="AJ233" s="154"/>
      <c r="AK233" s="154"/>
      <c r="AL233" s="113"/>
      <c r="AM233" s="154"/>
      <c r="AN233" s="133"/>
      <c r="AO233" s="112"/>
      <c r="AP233" s="133"/>
      <c r="AQ233" s="112"/>
      <c r="AR233" s="133"/>
      <c r="AS233" s="154"/>
      <c r="AT233" s="154"/>
      <c r="AU233" s="154"/>
      <c r="AV233" s="154"/>
      <c r="AW233" s="154"/>
      <c r="AX233" s="154"/>
      <c r="AY233" s="154"/>
      <c r="AZ233" s="154"/>
      <c r="BA233" s="154"/>
      <c r="BB233" s="154"/>
      <c r="BC233" s="154"/>
      <c r="BD233" s="154"/>
      <c r="BE233" s="154"/>
      <c r="BF233" s="154"/>
      <c r="BG233" s="154"/>
      <c r="BH233" s="154"/>
      <c r="BI233" s="154"/>
      <c r="BJ233" s="154"/>
      <c r="BK233" s="154"/>
      <c r="BL233" s="154"/>
      <c r="BM233" s="154"/>
      <c r="BN233" s="154"/>
      <c r="BO233" s="154"/>
      <c r="BP233" s="154"/>
      <c r="BQ233" s="154"/>
      <c r="BR233" s="154"/>
      <c r="BS233" s="154"/>
      <c r="BT233" s="154"/>
      <c r="BU233" s="154"/>
      <c r="BV233" s="154"/>
      <c r="BW233" s="154"/>
      <c r="BX233" s="154"/>
      <c r="BY233" s="154"/>
      <c r="BZ233" s="154"/>
      <c r="CA233" s="154"/>
      <c r="CB233" s="154"/>
      <c r="CC233" s="154"/>
      <c r="CD233" s="154"/>
      <c r="CE233" s="154"/>
      <c r="CF233" s="154"/>
      <c r="CG233" s="154"/>
      <c r="CH233" s="154"/>
      <c r="CI233" s="154"/>
      <c r="CJ233" s="154"/>
      <c r="CK233" s="154"/>
      <c r="CL233" s="154"/>
      <c r="CM233" s="154"/>
      <c r="CN233" s="154"/>
      <c r="CO233" s="154"/>
      <c r="CP233" s="154"/>
      <c r="CQ233" s="154"/>
      <c r="CR233" s="154"/>
      <c r="CS233" s="154"/>
      <c r="CT233" s="154"/>
      <c r="CU233" s="154"/>
      <c r="CV233" s="154"/>
      <c r="CW233" s="154"/>
      <c r="CX233" s="154"/>
      <c r="CY233" s="154"/>
      <c r="CZ233" s="154"/>
      <c r="DA233" s="154"/>
      <c r="DB233" s="154"/>
      <c r="DC233" s="154"/>
      <c r="DD233" s="154"/>
      <c r="DE233" s="154"/>
      <c r="DF233" s="154"/>
      <c r="DG233" s="154"/>
      <c r="DH233" s="154"/>
      <c r="DI233" s="154"/>
      <c r="DJ233" s="154"/>
      <c r="DK233" s="154"/>
      <c r="DL233" s="154"/>
      <c r="DM233" s="154"/>
      <c r="DN233" s="154"/>
      <c r="DO233" s="154"/>
      <c r="DP233" s="154"/>
      <c r="DQ233" s="154"/>
      <c r="DR233" s="154"/>
      <c r="DS233" s="154"/>
      <c r="DT233" s="154"/>
      <c r="DU233" s="154"/>
      <c r="DV233" s="154"/>
      <c r="DW233" s="154"/>
      <c r="DX233" s="154"/>
      <c r="DY233" s="154"/>
      <c r="DZ233" s="154"/>
      <c r="EA233" s="154"/>
      <c r="EB233" s="154"/>
      <c r="EC233" s="154"/>
      <c r="ED233" s="154"/>
      <c r="EE233" s="154"/>
      <c r="EF233" s="154"/>
      <c r="EG233" s="154"/>
      <c r="EH233" s="154"/>
      <c r="EI233" s="154"/>
      <c r="EJ233" s="154"/>
      <c r="EK233" s="154"/>
      <c r="EL233" s="154"/>
      <c r="EM233" s="154"/>
      <c r="EN233" s="154"/>
      <c r="EO233" s="154"/>
      <c r="EP233" s="154"/>
      <c r="EQ233" s="154"/>
      <c r="ER233" s="154"/>
      <c r="ES233" s="154"/>
      <c r="ET233" s="154"/>
      <c r="EU233" s="154"/>
      <c r="EV233" s="154"/>
      <c r="EW233" s="154"/>
      <c r="EX233" s="154"/>
      <c r="EY233" s="154"/>
      <c r="EZ233" s="154"/>
      <c r="FA233" s="154"/>
      <c r="FB233" s="154"/>
      <c r="FC233" s="154"/>
      <c r="FD233" s="154"/>
      <c r="FE233" s="154"/>
      <c r="FF233" s="154"/>
      <c r="FG233" s="154"/>
      <c r="FH233" s="154"/>
      <c r="FI233" s="154"/>
      <c r="FJ233" s="154"/>
      <c r="FK233" s="154"/>
      <c r="FL233" s="154"/>
      <c r="FM233" s="154"/>
      <c r="FN233" s="154"/>
      <c r="FO233" s="154"/>
      <c r="FP233" s="154"/>
      <c r="FQ233" s="154"/>
      <c r="FR233" s="154"/>
      <c r="FS233" s="154"/>
      <c r="FT233" s="154"/>
      <c r="FU233" s="154"/>
      <c r="FV233" s="154"/>
      <c r="FW233" s="154"/>
      <c r="FX233" s="154"/>
      <c r="FY233" s="154"/>
      <c r="FZ233" s="154"/>
      <c r="GA233" s="154"/>
      <c r="GB233" s="154"/>
      <c r="GC233" s="154"/>
      <c r="GD233" s="154"/>
      <c r="GE233" s="154"/>
      <c r="GF233" s="154"/>
      <c r="GG233" s="154"/>
      <c r="GH233" s="154"/>
      <c r="GI233" s="154"/>
      <c r="GJ233" s="154"/>
      <c r="GK233" s="154"/>
      <c r="GL233" s="154"/>
      <c r="GM233" s="154"/>
      <c r="GN233" s="154"/>
      <c r="GO233" s="154"/>
      <c r="GP233" s="154"/>
      <c r="GQ233" s="154"/>
      <c r="GR233" s="154"/>
      <c r="GS233" s="154"/>
      <c r="GT233" s="154"/>
      <c r="GU233" s="154"/>
      <c r="GV233" s="154"/>
      <c r="GW233" s="154"/>
      <c r="GX233" s="154"/>
      <c r="GY233" s="154"/>
      <c r="GZ233" s="154"/>
      <c r="HA233" s="154"/>
      <c r="HB233" s="154"/>
      <c r="HC233" s="154"/>
      <c r="HD233" s="154"/>
      <c r="HE233" s="154"/>
      <c r="HF233" s="154"/>
      <c r="HG233" s="154"/>
      <c r="HH233" s="154"/>
      <c r="HI233" s="154"/>
      <c r="HJ233" s="154"/>
      <c r="HK233" s="154"/>
      <c r="HL233" s="154"/>
      <c r="HM233" s="154"/>
      <c r="HN233" s="154"/>
      <c r="HO233" s="154"/>
      <c r="HP233" s="154"/>
      <c r="HQ233" s="154"/>
      <c r="HR233" s="154"/>
      <c r="HS233" s="154"/>
      <c r="HT233" s="154"/>
      <c r="HU233" s="154"/>
      <c r="HV233" s="154"/>
      <c r="HW233" s="154"/>
      <c r="HX233" s="154"/>
      <c r="HY233" s="154"/>
      <c r="HZ233" s="154"/>
      <c r="IA233" s="154"/>
      <c r="IB233" s="154"/>
      <c r="IC233" s="154"/>
      <c r="ID233" s="154"/>
      <c r="IE233" s="154"/>
      <c r="IF233" s="154"/>
      <c r="IG233" s="154"/>
      <c r="IH233" s="154"/>
      <c r="II233" s="154"/>
      <c r="IJ233" s="154"/>
      <c r="IK233" s="154"/>
      <c r="IL233" s="154"/>
      <c r="IM233" s="154"/>
      <c r="IN233" s="154"/>
      <c r="IO233" s="154"/>
      <c r="IP233" s="154"/>
      <c r="IQ233" s="154"/>
      <c r="IR233" s="154"/>
    </row>
    <row r="234" spans="1:252" s="136" customFormat="1" x14ac:dyDescent="0.2">
      <c r="A234" s="191"/>
      <c r="B234" s="18"/>
      <c r="C234" s="18"/>
      <c r="D234" s="18"/>
      <c r="E234" s="18"/>
      <c r="F234" s="18"/>
      <c r="G234" s="18"/>
      <c r="H234" s="18"/>
      <c r="I234" s="18"/>
      <c r="J234" s="18"/>
      <c r="K234" s="18"/>
      <c r="L234" s="18"/>
      <c r="M234" s="19" t="s">
        <v>16</v>
      </c>
      <c r="N234" s="18"/>
      <c r="O234" s="18"/>
      <c r="P234" s="192"/>
      <c r="Q234" s="18"/>
      <c r="R234" s="192"/>
      <c r="S234" s="192"/>
      <c r="T234" s="192"/>
      <c r="U234" s="192"/>
      <c r="V234" s="192"/>
      <c r="W234" s="192"/>
      <c r="X234" s="192"/>
      <c r="Y234" s="192"/>
      <c r="Z234" s="192"/>
      <c r="AA234" s="192"/>
      <c r="AB234" s="192"/>
      <c r="AC234" s="192"/>
      <c r="AD234" s="192"/>
      <c r="AE234" s="192"/>
      <c r="AF234" s="192"/>
      <c r="AG234" s="192"/>
      <c r="AH234" s="192"/>
      <c r="AI234" s="192"/>
      <c r="AJ234" s="154"/>
      <c r="AK234" s="154"/>
      <c r="AL234" s="113"/>
      <c r="AM234" s="154"/>
      <c r="AN234" s="133"/>
      <c r="AO234" s="112"/>
      <c r="AP234" s="133"/>
      <c r="AQ234" s="112"/>
      <c r="AR234" s="133"/>
      <c r="AS234" s="154"/>
      <c r="AT234" s="154"/>
      <c r="AU234" s="154"/>
      <c r="AV234" s="154"/>
      <c r="AW234" s="154"/>
      <c r="AX234" s="154"/>
      <c r="AY234" s="154"/>
      <c r="AZ234" s="154"/>
      <c r="BA234" s="154"/>
      <c r="BB234" s="154"/>
      <c r="BC234" s="154"/>
      <c r="BD234" s="154"/>
      <c r="BE234" s="154"/>
      <c r="BF234" s="154"/>
      <c r="BG234" s="154"/>
      <c r="BH234" s="154"/>
      <c r="BI234" s="154"/>
      <c r="BJ234" s="154"/>
      <c r="BK234" s="154"/>
      <c r="BL234" s="154"/>
      <c r="BM234" s="154"/>
      <c r="BN234" s="154"/>
      <c r="BO234" s="154"/>
      <c r="BP234" s="154"/>
      <c r="BQ234" s="154"/>
      <c r="BR234" s="154"/>
      <c r="BS234" s="154"/>
      <c r="BT234" s="154"/>
      <c r="BU234" s="154"/>
      <c r="BV234" s="154"/>
      <c r="BW234" s="154"/>
      <c r="BX234" s="154"/>
      <c r="BY234" s="154"/>
      <c r="BZ234" s="154"/>
      <c r="CA234" s="154"/>
      <c r="CB234" s="154"/>
      <c r="CC234" s="154"/>
      <c r="CD234" s="154"/>
      <c r="CE234" s="154"/>
      <c r="CF234" s="154"/>
      <c r="CG234" s="154"/>
      <c r="CH234" s="154"/>
      <c r="CI234" s="154"/>
      <c r="CJ234" s="154"/>
      <c r="CK234" s="154"/>
      <c r="CL234" s="154"/>
      <c r="CM234" s="154"/>
      <c r="CN234" s="154"/>
      <c r="CO234" s="154"/>
      <c r="CP234" s="154"/>
      <c r="CQ234" s="154"/>
      <c r="CR234" s="154"/>
      <c r="CS234" s="154"/>
      <c r="CT234" s="154"/>
      <c r="CU234" s="154"/>
      <c r="CV234" s="154"/>
      <c r="CW234" s="154"/>
      <c r="CX234" s="154"/>
      <c r="CY234" s="154"/>
      <c r="CZ234" s="154"/>
      <c r="DA234" s="154"/>
      <c r="DB234" s="154"/>
      <c r="DC234" s="154"/>
      <c r="DD234" s="154"/>
      <c r="DE234" s="154"/>
      <c r="DF234" s="154"/>
      <c r="DG234" s="154"/>
      <c r="DH234" s="154"/>
      <c r="DI234" s="154"/>
      <c r="DJ234" s="154"/>
      <c r="DK234" s="154"/>
      <c r="DL234" s="154"/>
      <c r="DM234" s="154"/>
      <c r="DN234" s="154"/>
      <c r="DO234" s="154"/>
      <c r="DP234" s="154"/>
      <c r="DQ234" s="154"/>
      <c r="DR234" s="154"/>
      <c r="DS234" s="154"/>
      <c r="DT234" s="154"/>
      <c r="DU234" s="154"/>
      <c r="DV234" s="154"/>
      <c r="DW234" s="154"/>
      <c r="DX234" s="154"/>
      <c r="DY234" s="154"/>
      <c r="DZ234" s="154"/>
      <c r="EA234" s="154"/>
      <c r="EB234" s="154"/>
      <c r="EC234" s="154"/>
      <c r="ED234" s="154"/>
      <c r="EE234" s="154"/>
      <c r="EF234" s="154"/>
      <c r="EG234" s="154"/>
      <c r="EH234" s="154"/>
      <c r="EI234" s="154"/>
      <c r="EJ234" s="154"/>
      <c r="EK234" s="154"/>
      <c r="EL234" s="154"/>
      <c r="EM234" s="154"/>
      <c r="EN234" s="154"/>
      <c r="EO234" s="154"/>
      <c r="EP234" s="154"/>
      <c r="EQ234" s="154"/>
      <c r="ER234" s="154"/>
      <c r="ES234" s="154"/>
      <c r="ET234" s="154"/>
      <c r="EU234" s="154"/>
      <c r="EV234" s="154"/>
      <c r="EW234" s="154"/>
      <c r="EX234" s="154"/>
      <c r="EY234" s="154"/>
      <c r="EZ234" s="154"/>
      <c r="FA234" s="154"/>
      <c r="FB234" s="154"/>
      <c r="FC234" s="154"/>
      <c r="FD234" s="154"/>
      <c r="FE234" s="154"/>
      <c r="FF234" s="154"/>
      <c r="FG234" s="154"/>
      <c r="FH234" s="154"/>
      <c r="FI234" s="154"/>
      <c r="FJ234" s="154"/>
      <c r="FK234" s="154"/>
      <c r="FL234" s="154"/>
      <c r="FM234" s="154"/>
      <c r="FN234" s="154"/>
      <c r="FO234" s="154"/>
      <c r="FP234" s="154"/>
      <c r="FQ234" s="154"/>
      <c r="FR234" s="154"/>
      <c r="FS234" s="154"/>
      <c r="FT234" s="154"/>
      <c r="FU234" s="154"/>
      <c r="FV234" s="154"/>
      <c r="FW234" s="154"/>
      <c r="FX234" s="154"/>
      <c r="FY234" s="154"/>
      <c r="FZ234" s="154"/>
      <c r="GA234" s="154"/>
      <c r="GB234" s="154"/>
      <c r="GC234" s="154"/>
      <c r="GD234" s="154"/>
      <c r="GE234" s="154"/>
      <c r="GF234" s="154"/>
      <c r="GG234" s="154"/>
      <c r="GH234" s="154"/>
      <c r="GI234" s="154"/>
      <c r="GJ234" s="154"/>
      <c r="GK234" s="154"/>
      <c r="GL234" s="154"/>
      <c r="GM234" s="154"/>
      <c r="GN234" s="154"/>
      <c r="GO234" s="154"/>
      <c r="GP234" s="154"/>
      <c r="GQ234" s="154"/>
      <c r="GR234" s="154"/>
      <c r="GS234" s="154"/>
      <c r="GT234" s="154"/>
      <c r="GU234" s="154"/>
      <c r="GV234" s="154"/>
      <c r="GW234" s="154"/>
      <c r="GX234" s="154"/>
      <c r="GY234" s="154"/>
      <c r="GZ234" s="154"/>
      <c r="HA234" s="154"/>
      <c r="HB234" s="154"/>
      <c r="HC234" s="154"/>
      <c r="HD234" s="154"/>
      <c r="HE234" s="154"/>
      <c r="HF234" s="154"/>
      <c r="HG234" s="154"/>
      <c r="HH234" s="154"/>
      <c r="HI234" s="154"/>
      <c r="HJ234" s="154"/>
      <c r="HK234" s="154"/>
      <c r="HL234" s="154"/>
      <c r="HM234" s="154"/>
      <c r="HN234" s="154"/>
      <c r="HO234" s="154"/>
      <c r="HP234" s="154"/>
      <c r="HQ234" s="154"/>
      <c r="HR234" s="154"/>
      <c r="HS234" s="154"/>
      <c r="HT234" s="154"/>
      <c r="HU234" s="154"/>
      <c r="HV234" s="154"/>
      <c r="HW234" s="154"/>
      <c r="HX234" s="154"/>
      <c r="HY234" s="154"/>
      <c r="HZ234" s="154"/>
      <c r="IA234" s="154"/>
      <c r="IB234" s="154"/>
      <c r="IC234" s="154"/>
      <c r="ID234" s="154"/>
      <c r="IE234" s="154"/>
      <c r="IF234" s="154"/>
      <c r="IG234" s="154"/>
      <c r="IH234" s="154"/>
      <c r="II234" s="154"/>
      <c r="IJ234" s="154"/>
      <c r="IK234" s="154"/>
      <c r="IL234" s="154"/>
      <c r="IM234" s="154"/>
      <c r="IN234" s="154"/>
      <c r="IO234" s="154"/>
      <c r="IP234" s="154"/>
      <c r="IQ234" s="154"/>
      <c r="IR234" s="154"/>
    </row>
    <row r="235" spans="1:252" s="136" customFormat="1" ht="14.25" customHeight="1" x14ac:dyDescent="0.2">
      <c r="A235" s="17"/>
      <c r="B235" s="20">
        <f>Aprekini!B5</f>
        <v>2019</v>
      </c>
      <c r="C235" s="20">
        <f t="shared" ref="C235:AG235" si="787">B235+1</f>
        <v>2020</v>
      </c>
      <c r="D235" s="20">
        <f t="shared" si="787"/>
        <v>2021</v>
      </c>
      <c r="E235" s="20">
        <f t="shared" si="787"/>
        <v>2022</v>
      </c>
      <c r="F235" s="20">
        <f t="shared" si="787"/>
        <v>2023</v>
      </c>
      <c r="G235" s="20">
        <f t="shared" si="787"/>
        <v>2024</v>
      </c>
      <c r="H235" s="20">
        <f t="shared" si="787"/>
        <v>2025</v>
      </c>
      <c r="I235" s="20">
        <f t="shared" si="787"/>
        <v>2026</v>
      </c>
      <c r="J235" s="20">
        <f t="shared" si="787"/>
        <v>2027</v>
      </c>
      <c r="K235" s="20">
        <f t="shared" si="787"/>
        <v>2028</v>
      </c>
      <c r="L235" s="20">
        <f t="shared" si="787"/>
        <v>2029</v>
      </c>
      <c r="M235" s="20">
        <f t="shared" si="787"/>
        <v>2030</v>
      </c>
      <c r="N235" s="20">
        <f t="shared" si="787"/>
        <v>2031</v>
      </c>
      <c r="O235" s="20">
        <f t="shared" si="787"/>
        <v>2032</v>
      </c>
      <c r="P235" s="20">
        <f t="shared" si="787"/>
        <v>2033</v>
      </c>
      <c r="Q235" s="20">
        <f t="shared" si="787"/>
        <v>2034</v>
      </c>
      <c r="R235" s="20">
        <f t="shared" si="787"/>
        <v>2035</v>
      </c>
      <c r="S235" s="20">
        <f t="shared" si="787"/>
        <v>2036</v>
      </c>
      <c r="T235" s="20">
        <f t="shared" si="787"/>
        <v>2037</v>
      </c>
      <c r="U235" s="175">
        <f t="shared" si="787"/>
        <v>2038</v>
      </c>
      <c r="V235" s="175">
        <f t="shared" si="787"/>
        <v>2039</v>
      </c>
      <c r="W235" s="175">
        <f t="shared" si="787"/>
        <v>2040</v>
      </c>
      <c r="X235" s="175">
        <f t="shared" si="787"/>
        <v>2041</v>
      </c>
      <c r="Y235" s="175">
        <f t="shared" si="787"/>
        <v>2042</v>
      </c>
      <c r="Z235" s="175">
        <f t="shared" si="787"/>
        <v>2043</v>
      </c>
      <c r="AA235" s="175">
        <f t="shared" si="787"/>
        <v>2044</v>
      </c>
      <c r="AB235" s="175">
        <f t="shared" si="787"/>
        <v>2045</v>
      </c>
      <c r="AC235" s="175">
        <f t="shared" si="787"/>
        <v>2046</v>
      </c>
      <c r="AD235" s="175">
        <f t="shared" si="787"/>
        <v>2047</v>
      </c>
      <c r="AE235" s="175">
        <f t="shared" si="787"/>
        <v>2048</v>
      </c>
      <c r="AF235" s="175">
        <f t="shared" si="787"/>
        <v>2049</v>
      </c>
      <c r="AG235" s="175">
        <f t="shared" si="787"/>
        <v>2050</v>
      </c>
      <c r="AH235" s="175">
        <f>AG235+1</f>
        <v>2051</v>
      </c>
      <c r="AI235" s="175">
        <f>AH235+1</f>
        <v>2052</v>
      </c>
      <c r="AL235" s="113"/>
      <c r="AN235" s="133"/>
      <c r="AO235" s="112"/>
      <c r="AP235" s="133"/>
      <c r="AQ235" s="112"/>
      <c r="AR235" s="133"/>
    </row>
    <row r="236" spans="1:252" s="136" customFormat="1" ht="14.25" customHeight="1" x14ac:dyDescent="0.2">
      <c r="A236" s="193" t="s">
        <v>95</v>
      </c>
      <c r="B236" s="730">
        <f>'Saimnieciskas pamatdarbibas NP'!B159</f>
        <v>0</v>
      </c>
      <c r="C236" s="730">
        <f>'Saimnieciskas pamatdarbibas NP'!C159</f>
        <v>0</v>
      </c>
      <c r="D236" s="730">
        <f>'Saimnieciskas pamatdarbibas NP'!D159</f>
        <v>27518.853999999908</v>
      </c>
      <c r="E236" s="730">
        <f>'Saimnieciskas pamatdarbibas NP'!E159</f>
        <v>35882.729999999967</v>
      </c>
      <c r="F236" s="730">
        <f>'Saimnieciskas pamatdarbibas NP'!F159</f>
        <v>30934.151999999951</v>
      </c>
      <c r="G236" s="730">
        <f>'Saimnieciskas pamatdarbibas NP'!G159</f>
        <v>32326.631999999987</v>
      </c>
      <c r="H236" s="730">
        <f>'Saimnieciskas pamatdarbibas NP'!H159</f>
        <v>33794.01</v>
      </c>
      <c r="I236" s="730">
        <f>'Saimnieciskas pamatdarbibas NP'!I159</f>
        <v>31978.512000000053</v>
      </c>
      <c r="J236" s="730">
        <f>'Saimnieciskas pamatdarbibas NP'!J159</f>
        <v>30237.911999999997</v>
      </c>
      <c r="K236" s="730">
        <f>'Saimnieciskas pamatdarbibas NP'!K159</f>
        <v>34838.369999999974</v>
      </c>
      <c r="L236" s="730">
        <f>'Saimnieciskas pamatdarbibas NP'!L159</f>
        <v>33794.010000000024</v>
      </c>
      <c r="M236" s="730">
        <f>'Saimnieciskas pamatdarbibas NP'!M159</f>
        <v>33022.872000000025</v>
      </c>
      <c r="N236" s="730">
        <f>'Saimnieciskas pamatdarbibas NP'!N159</f>
        <v>22156.254000000044</v>
      </c>
      <c r="O236" s="730">
        <f>'Saimnieciskas pamatdarbibas NP'!O159</f>
        <v>21111.893999999935</v>
      </c>
      <c r="P236" s="730">
        <f>'Saimnieciskas pamatdarbibas NP'!P159</f>
        <v>18600.155999999981</v>
      </c>
      <c r="Q236" s="730">
        <f>'Saimnieciskas pamatdarbibas NP'!Q159</f>
        <v>22504.37399999996</v>
      </c>
      <c r="R236" s="730">
        <f>'Saimnieciskas pamatdarbibas NP'!R159</f>
        <v>16511.436000000009</v>
      </c>
      <c r="S236" s="730">
        <f>'Saimnieciskas pamatdarbibas NP'!S159</f>
        <v>20415.653999999988</v>
      </c>
      <c r="T236" s="730">
        <f>'Saimnieciskas pamatdarbibas NP'!T159</f>
        <v>17903.915999999997</v>
      </c>
      <c r="U236" s="730">
        <f>'Saimnieciskas pamatdarbibas NP'!U159</f>
        <v>21808.133999999984</v>
      </c>
      <c r="V236" s="730">
        <f>'Saimnieciskas pamatdarbibas NP'!V159</f>
        <v>19644.515999999996</v>
      </c>
      <c r="W236" s="730">
        <f>'Saimnieciskas pamatdarbibas NP'!W159</f>
        <v>23548.733999999968</v>
      </c>
      <c r="X236" s="730">
        <f>'Saimnieciskas pamatdarbibas NP'!X159</f>
        <v>21036.996000000014</v>
      </c>
      <c r="Y236" s="730">
        <f>'Saimnieciskas pamatdarbibas NP'!Y159</f>
        <v>21460.013999999974</v>
      </c>
      <c r="Z236" s="730">
        <f>'Saimnieciskas pamatdarbibas NP'!Z159</f>
        <v>22156.253999999986</v>
      </c>
      <c r="AA236" s="730">
        <f>'Saimnieciskas pamatdarbibas NP'!AA159</f>
        <v>22852.493999999992</v>
      </c>
      <c r="AB236" s="730">
        <f>'Saimnieciskas pamatdarbibas NP'!AB159</f>
        <v>24244.973999999987</v>
      </c>
      <c r="AC236" s="730">
        <f>'Saimnieciskas pamatdarbibas NP'!AC159</f>
        <v>22504.373999999982</v>
      </c>
      <c r="AD236" s="730">
        <f>'Saimnieciskas pamatdarbibas NP'!AD159</f>
        <v>23896.853999999992</v>
      </c>
      <c r="AE236" s="730">
        <f>'Saimnieciskas pamatdarbibas NP'!AE159</f>
        <v>25289.334000000032</v>
      </c>
      <c r="AF236" s="730">
        <f>'Saimnieciskas pamatdarbibas NP'!AF159</f>
        <v>25289.333999999981</v>
      </c>
      <c r="AG236" s="730">
        <f>'Saimnieciskas pamatdarbibas NP'!AG159</f>
        <v>24941.213999999978</v>
      </c>
      <c r="AH236" s="730">
        <f>'Saimnieciskas pamatdarbibas NP'!AH159</f>
        <v>24941.213999999927</v>
      </c>
      <c r="AI236" s="730">
        <f>'Saimnieciskas pamatdarbibas NP'!AI159</f>
        <v>24593.093999999983</v>
      </c>
      <c r="AL236" s="113"/>
      <c r="AN236" s="133"/>
      <c r="AO236" s="112"/>
      <c r="AP236" s="133"/>
      <c r="AQ236" s="112"/>
      <c r="AR236" s="133"/>
    </row>
    <row r="237" spans="1:252" s="136" customFormat="1" ht="14.25" customHeight="1" x14ac:dyDescent="0.2">
      <c r="A237" s="193" t="s">
        <v>254</v>
      </c>
      <c r="B237" s="730">
        <f t="shared" ref="B237:AH237" si="788">B168</f>
        <v>0</v>
      </c>
      <c r="C237" s="730">
        <f t="shared" si="788"/>
        <v>0</v>
      </c>
      <c r="D237" s="730">
        <f t="shared" si="788"/>
        <v>0</v>
      </c>
      <c r="E237" s="730">
        <f t="shared" si="788"/>
        <v>0</v>
      </c>
      <c r="F237" s="730">
        <f t="shared" si="788"/>
        <v>0</v>
      </c>
      <c r="G237" s="730">
        <f t="shared" si="788"/>
        <v>0</v>
      </c>
      <c r="H237" s="730">
        <f t="shared" si="788"/>
        <v>0</v>
      </c>
      <c r="I237" s="730">
        <f t="shared" si="788"/>
        <v>0</v>
      </c>
      <c r="J237" s="730">
        <f t="shared" si="788"/>
        <v>0</v>
      </c>
      <c r="K237" s="730">
        <f t="shared" si="788"/>
        <v>0</v>
      </c>
      <c r="L237" s="730">
        <f t="shared" si="788"/>
        <v>0</v>
      </c>
      <c r="M237" s="730">
        <f t="shared" si="788"/>
        <v>0</v>
      </c>
      <c r="N237" s="730">
        <f t="shared" si="788"/>
        <v>0</v>
      </c>
      <c r="O237" s="730">
        <f t="shared" si="788"/>
        <v>0</v>
      </c>
      <c r="P237" s="730">
        <f t="shared" si="788"/>
        <v>0</v>
      </c>
      <c r="Q237" s="730">
        <f t="shared" si="788"/>
        <v>0</v>
      </c>
      <c r="R237" s="730">
        <f t="shared" si="788"/>
        <v>0</v>
      </c>
      <c r="S237" s="730">
        <f t="shared" si="788"/>
        <v>0</v>
      </c>
      <c r="T237" s="730">
        <f t="shared" si="788"/>
        <v>0</v>
      </c>
      <c r="U237" s="730">
        <f t="shared" si="788"/>
        <v>0</v>
      </c>
      <c r="V237" s="730">
        <f t="shared" si="788"/>
        <v>0</v>
      </c>
      <c r="W237" s="730">
        <f t="shared" si="788"/>
        <v>0</v>
      </c>
      <c r="X237" s="730">
        <f t="shared" si="788"/>
        <v>0</v>
      </c>
      <c r="Y237" s="730">
        <f t="shared" si="788"/>
        <v>0</v>
      </c>
      <c r="Z237" s="730">
        <f t="shared" si="788"/>
        <v>0</v>
      </c>
      <c r="AA237" s="730">
        <f t="shared" si="788"/>
        <v>0</v>
      </c>
      <c r="AB237" s="730">
        <f t="shared" si="788"/>
        <v>0</v>
      </c>
      <c r="AC237" s="730">
        <f t="shared" si="788"/>
        <v>0</v>
      </c>
      <c r="AD237" s="730">
        <f t="shared" si="788"/>
        <v>0</v>
      </c>
      <c r="AE237" s="730">
        <f t="shared" si="788"/>
        <v>0</v>
      </c>
      <c r="AF237" s="730">
        <f t="shared" si="788"/>
        <v>54164</v>
      </c>
      <c r="AG237" s="730">
        <f t="shared" si="788"/>
        <v>0</v>
      </c>
      <c r="AH237" s="730">
        <f t="shared" si="788"/>
        <v>0</v>
      </c>
      <c r="AI237" s="730">
        <f>AI168</f>
        <v>0</v>
      </c>
      <c r="AL237" s="113"/>
      <c r="AN237" s="133"/>
      <c r="AO237" s="112"/>
      <c r="AP237" s="133"/>
      <c r="AQ237" s="112"/>
      <c r="AR237" s="133"/>
    </row>
    <row r="238" spans="1:252" s="136" customFormat="1" x14ac:dyDescent="0.2">
      <c r="A238" s="178" t="s">
        <v>144</v>
      </c>
      <c r="B238" s="711">
        <f>SUM(B236:B237)</f>
        <v>0</v>
      </c>
      <c r="C238" s="711">
        <f t="shared" ref="C238:AH238" si="789">SUM(C236:C237)</f>
        <v>0</v>
      </c>
      <c r="D238" s="711">
        <f t="shared" si="789"/>
        <v>27518.853999999908</v>
      </c>
      <c r="E238" s="711">
        <f t="shared" si="789"/>
        <v>35882.729999999967</v>
      </c>
      <c r="F238" s="711">
        <f t="shared" si="789"/>
        <v>30934.151999999951</v>
      </c>
      <c r="G238" s="711">
        <f t="shared" si="789"/>
        <v>32326.631999999987</v>
      </c>
      <c r="H238" s="711">
        <f t="shared" si="789"/>
        <v>33794.01</v>
      </c>
      <c r="I238" s="711">
        <f t="shared" si="789"/>
        <v>31978.512000000053</v>
      </c>
      <c r="J238" s="711">
        <f t="shared" si="789"/>
        <v>30237.911999999997</v>
      </c>
      <c r="K238" s="711">
        <f t="shared" si="789"/>
        <v>34838.369999999974</v>
      </c>
      <c r="L238" s="711">
        <f t="shared" si="789"/>
        <v>33794.010000000024</v>
      </c>
      <c r="M238" s="711">
        <f t="shared" si="789"/>
        <v>33022.872000000025</v>
      </c>
      <c r="N238" s="711">
        <f t="shared" si="789"/>
        <v>22156.254000000044</v>
      </c>
      <c r="O238" s="711">
        <f t="shared" si="789"/>
        <v>21111.893999999935</v>
      </c>
      <c r="P238" s="711">
        <f t="shared" si="789"/>
        <v>18600.155999999981</v>
      </c>
      <c r="Q238" s="711">
        <f t="shared" si="789"/>
        <v>22504.37399999996</v>
      </c>
      <c r="R238" s="711">
        <f t="shared" si="789"/>
        <v>16511.436000000009</v>
      </c>
      <c r="S238" s="711">
        <f t="shared" si="789"/>
        <v>20415.653999999988</v>
      </c>
      <c r="T238" s="711">
        <f t="shared" si="789"/>
        <v>17903.915999999997</v>
      </c>
      <c r="U238" s="711">
        <f t="shared" si="789"/>
        <v>21808.133999999984</v>
      </c>
      <c r="V238" s="711">
        <f t="shared" si="789"/>
        <v>19644.515999999996</v>
      </c>
      <c r="W238" s="711">
        <f t="shared" si="789"/>
        <v>23548.733999999968</v>
      </c>
      <c r="X238" s="711">
        <f t="shared" si="789"/>
        <v>21036.996000000014</v>
      </c>
      <c r="Y238" s="711">
        <f t="shared" si="789"/>
        <v>21460.013999999974</v>
      </c>
      <c r="Z238" s="711">
        <f t="shared" si="789"/>
        <v>22156.253999999986</v>
      </c>
      <c r="AA238" s="711">
        <f t="shared" si="789"/>
        <v>22852.493999999992</v>
      </c>
      <c r="AB238" s="711">
        <f t="shared" si="789"/>
        <v>24244.973999999987</v>
      </c>
      <c r="AC238" s="711">
        <f t="shared" si="789"/>
        <v>22504.373999999982</v>
      </c>
      <c r="AD238" s="711">
        <f t="shared" si="789"/>
        <v>23896.853999999992</v>
      </c>
      <c r="AE238" s="711">
        <f t="shared" si="789"/>
        <v>25289.334000000032</v>
      </c>
      <c r="AF238" s="711">
        <f t="shared" si="789"/>
        <v>79453.333999999973</v>
      </c>
      <c r="AG238" s="711">
        <f t="shared" si="789"/>
        <v>24941.213999999978</v>
      </c>
      <c r="AH238" s="711">
        <f t="shared" si="789"/>
        <v>24941.213999999927</v>
      </c>
      <c r="AI238" s="711">
        <f>SUM(AI236:AI237)</f>
        <v>24593.093999999983</v>
      </c>
      <c r="AL238" s="113"/>
      <c r="AN238" s="133"/>
      <c r="AO238" s="112"/>
      <c r="AP238" s="133"/>
      <c r="AQ238" s="112"/>
      <c r="AR238" s="133"/>
    </row>
    <row r="239" spans="1:252" s="136" customFormat="1" x14ac:dyDescent="0.2">
      <c r="A239" s="147" t="s">
        <v>145</v>
      </c>
      <c r="B239" s="730">
        <f>'Saimnieciskas pamatdarbibas NP'!B150</f>
        <v>0</v>
      </c>
      <c r="C239" s="730">
        <f>'Saimnieciskas pamatdarbibas NP'!C150</f>
        <v>0</v>
      </c>
      <c r="D239" s="730">
        <f>'Saimnieciskas pamatdarbibas NP'!D150</f>
        <v>13146.654499999946</v>
      </c>
      <c r="E239" s="730">
        <f>'Saimnieciskas pamatdarbibas NP'!E150</f>
        <v>13404.802299999981</v>
      </c>
      <c r="F239" s="730">
        <f>'Saimnieciskas pamatdarbibas NP'!F150</f>
        <v>13655.070100000012</v>
      </c>
      <c r="G239" s="730">
        <f>'Saimnieciskas pamatdarbibas NP'!G150</f>
        <v>13905.327900000033</v>
      </c>
      <c r="H239" s="730">
        <f>'Saimnieciskas pamatdarbibas NP'!H150</f>
        <v>14155.595699999947</v>
      </c>
      <c r="I239" s="730">
        <f>'Saimnieciskas pamatdarbibas NP'!I150</f>
        <v>14405.853500000085</v>
      </c>
      <c r="J239" s="730">
        <f>'Saimnieciskas pamatdarbibas NP'!J150</f>
        <v>14656.111300000106</v>
      </c>
      <c r="K239" s="730">
        <f>'Saimnieciskas pamatdarbibas NP'!K150</f>
        <v>14906.379099999904</v>
      </c>
      <c r="L239" s="730">
        <f>'Saimnieciskas pamatdarbibas NP'!L150</f>
        <v>15164.536899999948</v>
      </c>
      <c r="M239" s="730">
        <f>'Saimnieciskas pamatdarbibas NP'!M150</f>
        <v>15422.6847000001</v>
      </c>
      <c r="N239" s="730">
        <f>'Saimnieciskas pamatdarbibas NP'!N150</f>
        <v>15680.832500000019</v>
      </c>
      <c r="O239" s="730">
        <f>'Saimnieciskas pamatdarbibas NP'!O150</f>
        <v>16056.229199999943</v>
      </c>
      <c r="P239" s="730">
        <f>'Saimnieciskas pamatdarbibas NP'!P150</f>
        <v>16431.625899999985</v>
      </c>
      <c r="Q239" s="730">
        <f>'Saimnieciskas pamatdarbibas NP'!Q150</f>
        <v>16807.0125999999</v>
      </c>
      <c r="R239" s="730">
        <f>'Saimnieciskas pamatdarbibas NP'!R150</f>
        <v>17182.409300000058</v>
      </c>
      <c r="S239" s="730">
        <f>'Saimnieciskas pamatdarbibas NP'!S150</f>
        <v>17557.805999999982</v>
      </c>
      <c r="T239" s="730">
        <f>'Saimnieciskas pamatdarbibas NP'!T150</f>
        <v>17933.192700000014</v>
      </c>
      <c r="U239" s="730">
        <f>'Saimnieciskas pamatdarbibas NP'!U150</f>
        <v>18308.589400000055</v>
      </c>
      <c r="V239" s="730">
        <f>'Saimnieciskas pamatdarbibas NP'!V150</f>
        <v>18683.986100000096</v>
      </c>
      <c r="W239" s="730">
        <f>'Saimnieciskas pamatdarbibas NP'!W150</f>
        <v>19059.372800000012</v>
      </c>
      <c r="X239" s="730">
        <f>'Saimnieciskas pamatdarbibas NP'!X150</f>
        <v>19434.769499999937</v>
      </c>
      <c r="Y239" s="730">
        <f>'Saimnieciskas pamatdarbibas NP'!Y150</f>
        <v>19810.166199999978</v>
      </c>
      <c r="Z239" s="730">
        <f>'Saimnieciskas pamatdarbibas NP'!Z150</f>
        <v>20185.55290000001</v>
      </c>
      <c r="AA239" s="730">
        <f>'Saimnieciskas pamatdarbibas NP'!AA150</f>
        <v>20560.949599999934</v>
      </c>
      <c r="AB239" s="730">
        <f>'Saimnieciskas pamatdarbibas NP'!AB150</f>
        <v>20944.226300000097</v>
      </c>
      <c r="AC239" s="730">
        <f>'Saimnieciskas pamatdarbibas NP'!AC150</f>
        <v>21327.523000000161</v>
      </c>
      <c r="AD239" s="730">
        <f>'Saimnieciskas pamatdarbibas NP'!AD150</f>
        <v>21710.809699999983</v>
      </c>
      <c r="AE239" s="730">
        <f>'Saimnieciskas pamatdarbibas NP'!AE150</f>
        <v>22094.086399999913</v>
      </c>
      <c r="AF239" s="730">
        <f>'Saimnieciskas pamatdarbibas NP'!AF150</f>
        <v>22594.611999999848</v>
      </c>
      <c r="AG239" s="730">
        <f>'Saimnieciskas pamatdarbibas NP'!AG150</f>
        <v>23095.137599999784</v>
      </c>
      <c r="AH239" s="730">
        <f>'Saimnieciskas pamatdarbibas NP'!AH150</f>
        <v>23595.663200000068</v>
      </c>
      <c r="AI239" s="730">
        <f>'Saimnieciskas pamatdarbibas NP'!AI150</f>
        <v>24096.178799999994</v>
      </c>
      <c r="AL239" s="113"/>
      <c r="AN239" s="133"/>
      <c r="AO239" s="112"/>
      <c r="AP239" s="133"/>
      <c r="AQ239" s="112"/>
      <c r="AR239" s="133"/>
    </row>
    <row r="240" spans="1:252" s="136" customFormat="1" x14ac:dyDescent="0.2">
      <c r="A240" s="178" t="s">
        <v>139</v>
      </c>
      <c r="B240" s="711">
        <f>Aprekini!B199</f>
        <v>0</v>
      </c>
      <c r="C240" s="711">
        <f>Aprekini!C199</f>
        <v>246585</v>
      </c>
      <c r="D240" s="711">
        <f>Aprekini!D199</f>
        <v>36400</v>
      </c>
      <c r="E240" s="711">
        <f>Aprekini!E199</f>
        <v>0</v>
      </c>
      <c r="F240" s="711">
        <f>Aprekini!F199</f>
        <v>0</v>
      </c>
      <c r="G240" s="711">
        <f>Aprekini!G199</f>
        <v>0</v>
      </c>
      <c r="H240" s="711">
        <f>Aprekini!H199</f>
        <v>0</v>
      </c>
      <c r="I240" s="711">
        <f>Aprekini!I199</f>
        <v>0</v>
      </c>
      <c r="J240" s="711">
        <f>Aprekini!J199</f>
        <v>0</v>
      </c>
      <c r="K240" s="711">
        <f>Aprekini!K199</f>
        <v>0</v>
      </c>
      <c r="L240" s="711">
        <f>Aprekini!L199</f>
        <v>0</v>
      </c>
      <c r="M240" s="711">
        <f>Aprekini!M199</f>
        <v>0</v>
      </c>
      <c r="N240" s="711">
        <f>Aprekini!N199</f>
        <v>0</v>
      </c>
      <c r="O240" s="711">
        <f>Aprekini!O199</f>
        <v>0</v>
      </c>
      <c r="P240" s="711">
        <f>Aprekini!P199</f>
        <v>0</v>
      </c>
      <c r="Q240" s="711">
        <f>Aprekini!Q199</f>
        <v>0</v>
      </c>
      <c r="R240" s="711">
        <f>Aprekini!R199</f>
        <v>0</v>
      </c>
      <c r="S240" s="711">
        <f>Aprekini!S199</f>
        <v>0</v>
      </c>
      <c r="T240" s="711">
        <f>Aprekini!T199</f>
        <v>0</v>
      </c>
      <c r="U240" s="711">
        <f>Aprekini!U199</f>
        <v>0</v>
      </c>
      <c r="V240" s="711">
        <f>Aprekini!V199</f>
        <v>0</v>
      </c>
      <c r="W240" s="711">
        <f>Aprekini!W199</f>
        <v>0</v>
      </c>
      <c r="X240" s="711">
        <f>Aprekini!X199</f>
        <v>0</v>
      </c>
      <c r="Y240" s="711">
        <f>Aprekini!Y199</f>
        <v>0</v>
      </c>
      <c r="Z240" s="711">
        <f>Aprekini!Z199</f>
        <v>0</v>
      </c>
      <c r="AA240" s="711">
        <f>Aprekini!AA199</f>
        <v>0</v>
      </c>
      <c r="AB240" s="711">
        <f>Aprekini!AB199</f>
        <v>0</v>
      </c>
      <c r="AC240" s="711">
        <f>Aprekini!AC199</f>
        <v>0</v>
      </c>
      <c r="AD240" s="711">
        <f>Aprekini!AD199</f>
        <v>0</v>
      </c>
      <c r="AE240" s="711">
        <f>Aprekini!AE199</f>
        <v>0</v>
      </c>
      <c r="AF240" s="711">
        <f>Aprekini!AF199</f>
        <v>0</v>
      </c>
      <c r="AG240" s="711">
        <f>Aprekini!AG199</f>
        <v>0</v>
      </c>
      <c r="AH240" s="711">
        <f>Aprekini!AH199</f>
        <v>0</v>
      </c>
      <c r="AI240" s="711">
        <f>Aprekini!AI199</f>
        <v>0</v>
      </c>
      <c r="AL240" s="113"/>
      <c r="AN240" s="133"/>
      <c r="AO240" s="112"/>
      <c r="AP240" s="133"/>
      <c r="AQ240" s="112"/>
      <c r="AR240" s="133"/>
    </row>
    <row r="241" spans="1:44" s="136" customFormat="1" x14ac:dyDescent="0.2">
      <c r="A241" s="178" t="s">
        <v>146</v>
      </c>
      <c r="B241" s="711">
        <f t="shared" ref="B241:AG241" si="790">SUM(B239:B240)</f>
        <v>0</v>
      </c>
      <c r="C241" s="711">
        <f t="shared" si="790"/>
        <v>246585</v>
      </c>
      <c r="D241" s="711">
        <f t="shared" si="790"/>
        <v>49546.654499999946</v>
      </c>
      <c r="E241" s="711">
        <f t="shared" si="790"/>
        <v>13404.802299999981</v>
      </c>
      <c r="F241" s="711">
        <f t="shared" si="790"/>
        <v>13655.070100000012</v>
      </c>
      <c r="G241" s="711">
        <f t="shared" si="790"/>
        <v>13905.327900000033</v>
      </c>
      <c r="H241" s="711">
        <f t="shared" si="790"/>
        <v>14155.595699999947</v>
      </c>
      <c r="I241" s="711">
        <f t="shared" si="790"/>
        <v>14405.853500000085</v>
      </c>
      <c r="J241" s="711">
        <f t="shared" si="790"/>
        <v>14656.111300000106</v>
      </c>
      <c r="K241" s="711">
        <f t="shared" si="790"/>
        <v>14906.379099999904</v>
      </c>
      <c r="L241" s="711">
        <f t="shared" si="790"/>
        <v>15164.536899999948</v>
      </c>
      <c r="M241" s="711">
        <f t="shared" si="790"/>
        <v>15422.6847000001</v>
      </c>
      <c r="N241" s="711">
        <f t="shared" si="790"/>
        <v>15680.832500000019</v>
      </c>
      <c r="O241" s="711">
        <f t="shared" si="790"/>
        <v>16056.229199999943</v>
      </c>
      <c r="P241" s="711">
        <f t="shared" si="790"/>
        <v>16431.625899999985</v>
      </c>
      <c r="Q241" s="711">
        <f t="shared" si="790"/>
        <v>16807.0125999999</v>
      </c>
      <c r="R241" s="711">
        <f t="shared" si="790"/>
        <v>17182.409300000058</v>
      </c>
      <c r="S241" s="711">
        <f t="shared" si="790"/>
        <v>17557.805999999982</v>
      </c>
      <c r="T241" s="711">
        <f t="shared" si="790"/>
        <v>17933.192700000014</v>
      </c>
      <c r="U241" s="711">
        <f t="shared" si="790"/>
        <v>18308.589400000055</v>
      </c>
      <c r="V241" s="711">
        <f t="shared" si="790"/>
        <v>18683.986100000096</v>
      </c>
      <c r="W241" s="711">
        <f t="shared" si="790"/>
        <v>19059.372800000012</v>
      </c>
      <c r="X241" s="711">
        <f t="shared" si="790"/>
        <v>19434.769499999937</v>
      </c>
      <c r="Y241" s="711">
        <f t="shared" si="790"/>
        <v>19810.166199999978</v>
      </c>
      <c r="Z241" s="711">
        <f t="shared" si="790"/>
        <v>20185.55290000001</v>
      </c>
      <c r="AA241" s="711">
        <f t="shared" si="790"/>
        <v>20560.949599999934</v>
      </c>
      <c r="AB241" s="711">
        <f t="shared" si="790"/>
        <v>20944.226300000097</v>
      </c>
      <c r="AC241" s="711">
        <f t="shared" si="790"/>
        <v>21327.523000000161</v>
      </c>
      <c r="AD241" s="711">
        <f t="shared" si="790"/>
        <v>21710.809699999983</v>
      </c>
      <c r="AE241" s="711">
        <f t="shared" si="790"/>
        <v>22094.086399999913</v>
      </c>
      <c r="AF241" s="711">
        <f t="shared" si="790"/>
        <v>22594.611999999848</v>
      </c>
      <c r="AG241" s="711">
        <f t="shared" si="790"/>
        <v>23095.137599999784</v>
      </c>
      <c r="AH241" s="711">
        <f>SUM(AH239:AH240)</f>
        <v>23595.663200000068</v>
      </c>
      <c r="AI241" s="711">
        <f>SUM(AI239:AI240)</f>
        <v>24096.178799999994</v>
      </c>
      <c r="AL241" s="113"/>
      <c r="AN241" s="133"/>
      <c r="AO241" s="112"/>
      <c r="AP241" s="133"/>
      <c r="AQ241" s="112"/>
      <c r="AR241" s="133"/>
    </row>
    <row r="242" spans="1:44" s="136" customFormat="1" x14ac:dyDescent="0.2">
      <c r="A242" s="194" t="s">
        <v>147</v>
      </c>
      <c r="B242" s="733">
        <f t="shared" ref="B242:AG242" si="791">B238-B241</f>
        <v>0</v>
      </c>
      <c r="C242" s="733">
        <f t="shared" si="791"/>
        <v>-246585</v>
      </c>
      <c r="D242" s="733">
        <f t="shared" si="791"/>
        <v>-22027.800500000038</v>
      </c>
      <c r="E242" s="733">
        <f t="shared" si="791"/>
        <v>22477.927699999986</v>
      </c>
      <c r="F242" s="733">
        <f t="shared" si="791"/>
        <v>17279.081899999939</v>
      </c>
      <c r="G242" s="733">
        <f t="shared" si="791"/>
        <v>18421.304099999954</v>
      </c>
      <c r="H242" s="733">
        <f t="shared" si="791"/>
        <v>19638.414300000055</v>
      </c>
      <c r="I242" s="733">
        <f t="shared" si="791"/>
        <v>17572.658499999969</v>
      </c>
      <c r="J242" s="733">
        <f t="shared" si="791"/>
        <v>15581.800699999891</v>
      </c>
      <c r="K242" s="733">
        <f t="shared" si="791"/>
        <v>19931.99090000007</v>
      </c>
      <c r="L242" s="733">
        <f t="shared" si="791"/>
        <v>18629.473100000076</v>
      </c>
      <c r="M242" s="733">
        <f t="shared" si="791"/>
        <v>17600.187299999925</v>
      </c>
      <c r="N242" s="733">
        <f t="shared" si="791"/>
        <v>6475.4215000000258</v>
      </c>
      <c r="O242" s="733">
        <f t="shared" si="791"/>
        <v>5055.6647999999914</v>
      </c>
      <c r="P242" s="733">
        <f t="shared" si="791"/>
        <v>2168.5300999999963</v>
      </c>
      <c r="Q242" s="733">
        <f t="shared" si="791"/>
        <v>5697.3614000000598</v>
      </c>
      <c r="R242" s="733">
        <f t="shared" si="791"/>
        <v>-670.97330000004877</v>
      </c>
      <c r="S242" s="733">
        <f t="shared" si="791"/>
        <v>2857.8480000000054</v>
      </c>
      <c r="T242" s="733">
        <f t="shared" si="791"/>
        <v>-29.276700000016717</v>
      </c>
      <c r="U242" s="733">
        <f t="shared" si="791"/>
        <v>3499.5445999999283</v>
      </c>
      <c r="V242" s="733">
        <f t="shared" si="791"/>
        <v>960.5298999998995</v>
      </c>
      <c r="W242" s="733">
        <f t="shared" si="791"/>
        <v>4489.3611999999557</v>
      </c>
      <c r="X242" s="733">
        <f t="shared" si="791"/>
        <v>1602.2265000000771</v>
      </c>
      <c r="Y242" s="733">
        <f t="shared" si="791"/>
        <v>1649.8477999999959</v>
      </c>
      <c r="Z242" s="733">
        <f t="shared" si="791"/>
        <v>1970.7010999999766</v>
      </c>
      <c r="AA242" s="733">
        <f t="shared" si="791"/>
        <v>2291.5444000000571</v>
      </c>
      <c r="AB242" s="733">
        <f t="shared" si="791"/>
        <v>3300.7476999998908</v>
      </c>
      <c r="AC242" s="733">
        <f t="shared" si="791"/>
        <v>1176.8509999998205</v>
      </c>
      <c r="AD242" s="733">
        <f t="shared" si="791"/>
        <v>2186.0443000000087</v>
      </c>
      <c r="AE242" s="733">
        <f t="shared" si="791"/>
        <v>3195.2476000001188</v>
      </c>
      <c r="AF242" s="733">
        <f t="shared" si="791"/>
        <v>56858.722000000125</v>
      </c>
      <c r="AG242" s="733">
        <f t="shared" si="791"/>
        <v>1846.0764000001946</v>
      </c>
      <c r="AH242" s="733">
        <f>AH238-AH241</f>
        <v>1345.550799999859</v>
      </c>
      <c r="AI242" s="733">
        <f>AI238-AI241</f>
        <v>496.91519999998854</v>
      </c>
      <c r="AL242" s="113"/>
      <c r="AN242" s="133"/>
      <c r="AO242" s="112"/>
      <c r="AP242" s="133"/>
      <c r="AQ242" s="112"/>
      <c r="AR242" s="133"/>
    </row>
    <row r="243" spans="1:44" s="136" customFormat="1" x14ac:dyDescent="0.2">
      <c r="A243" s="44" t="s">
        <v>148</v>
      </c>
      <c r="B243" s="195"/>
      <c r="C243" s="195"/>
      <c r="D243" s="195"/>
      <c r="E243" s="195"/>
      <c r="F243" s="195"/>
      <c r="G243" s="195"/>
      <c r="H243" s="18"/>
      <c r="I243" s="195"/>
      <c r="J243" s="195"/>
      <c r="K243" s="195"/>
      <c r="L243" s="195"/>
      <c r="M243" s="196">
        <f>IF(ISERROR(IRR(C242:AF242,0)),"Nevar aprēķināt",IRR(C242:AF242,0))</f>
        <v>9.422265151659559E-4</v>
      </c>
      <c r="N243" s="195"/>
      <c r="O243" s="195"/>
      <c r="P243" s="18"/>
      <c r="Q243" s="197"/>
      <c r="R243" s="195"/>
      <c r="S243" s="195"/>
      <c r="T243" s="195"/>
      <c r="U243" s="195"/>
      <c r="V243" s="195"/>
      <c r="W243" s="195"/>
      <c r="X243" s="195"/>
      <c r="Y243" s="195"/>
      <c r="Z243" s="195"/>
      <c r="AA243" s="195"/>
      <c r="AB243" s="195"/>
      <c r="AC243" s="195"/>
      <c r="AD243" s="195"/>
      <c r="AE243" s="195"/>
      <c r="AF243" s="195"/>
      <c r="AG243" s="198"/>
      <c r="AH243" s="198"/>
      <c r="AI243" s="198"/>
      <c r="AL243" s="113"/>
      <c r="AN243" s="133"/>
      <c r="AO243" s="112"/>
      <c r="AP243" s="133"/>
      <c r="AQ243" s="112"/>
      <c r="AR243" s="133"/>
    </row>
    <row r="244" spans="1:44" s="136" customFormat="1" x14ac:dyDescent="0.2">
      <c r="A244" s="44" t="s">
        <v>149</v>
      </c>
      <c r="B244" s="18"/>
      <c r="C244" s="18"/>
      <c r="D244" s="18"/>
      <c r="E244" s="18"/>
      <c r="F244" s="18"/>
      <c r="G244" s="18"/>
      <c r="H244" s="18"/>
      <c r="I244" s="18"/>
      <c r="J244" s="18"/>
      <c r="K244" s="18"/>
      <c r="L244" s="18"/>
      <c r="M244" s="199">
        <f>NPV('Kopējie pieņēmumi'!B16,C242:AF242)</f>
        <v>-125060.33271113997</v>
      </c>
      <c r="N244" s="18"/>
      <c r="O244" s="18"/>
      <c r="P244" s="18"/>
      <c r="Q244" s="200"/>
      <c r="R244" s="18"/>
      <c r="S244" s="18"/>
      <c r="T244" s="18"/>
      <c r="U244" s="18"/>
      <c r="V244" s="18"/>
      <c r="W244" s="18"/>
      <c r="X244" s="18"/>
      <c r="Y244" s="18"/>
      <c r="Z244" s="18"/>
      <c r="AA244" s="18"/>
      <c r="AB244" s="18"/>
      <c r="AC244" s="18"/>
      <c r="AD244" s="18"/>
      <c r="AE244" s="18"/>
      <c r="AF244" s="18"/>
      <c r="AG244" s="201"/>
      <c r="AH244" s="201"/>
      <c r="AI244" s="201"/>
      <c r="AL244" s="113"/>
      <c r="AN244" s="133"/>
      <c r="AO244" s="112"/>
      <c r="AP244" s="133"/>
      <c r="AQ244" s="112"/>
      <c r="AR244" s="133"/>
    </row>
    <row r="245" spans="1:44" s="136" customFormat="1" x14ac:dyDescent="0.2">
      <c r="A245" s="142"/>
      <c r="B245" s="148"/>
      <c r="C245" s="148"/>
      <c r="D245" s="148"/>
      <c r="E245" s="148"/>
      <c r="F245" s="148"/>
      <c r="G245" s="148"/>
      <c r="H245" s="148"/>
      <c r="I245" s="148"/>
      <c r="J245" s="148"/>
      <c r="K245" s="148"/>
      <c r="L245" s="148"/>
      <c r="M245" s="202"/>
      <c r="N245" s="148"/>
      <c r="O245" s="148"/>
      <c r="P245" s="148"/>
      <c r="Q245" s="202"/>
      <c r="R245" s="148"/>
      <c r="S245" s="148"/>
      <c r="T245" s="148"/>
      <c r="U245" s="148"/>
      <c r="V245" s="148"/>
      <c r="W245" s="148"/>
      <c r="X245" s="148"/>
      <c r="Y245" s="148"/>
      <c r="Z245" s="148"/>
      <c r="AL245" s="113"/>
      <c r="AN245" s="133"/>
      <c r="AO245" s="112"/>
      <c r="AP245" s="133"/>
      <c r="AQ245" s="112"/>
      <c r="AR245" s="133"/>
    </row>
    <row r="246" spans="1:44" s="136" customFormat="1" x14ac:dyDescent="0.2">
      <c r="C246" s="148"/>
      <c r="D246" s="148"/>
      <c r="E246" s="148"/>
      <c r="F246" s="148"/>
      <c r="G246" s="148"/>
      <c r="H246" s="148"/>
      <c r="I246" s="148"/>
      <c r="J246" s="148"/>
      <c r="K246" s="148"/>
      <c r="L246" s="148"/>
      <c r="M246" s="202"/>
      <c r="N246" s="148"/>
      <c r="O246" s="148"/>
      <c r="P246" s="148"/>
      <c r="Q246" s="202"/>
      <c r="R246" s="148"/>
      <c r="S246" s="148"/>
      <c r="T246" s="148"/>
      <c r="U246" s="148"/>
      <c r="V246" s="148"/>
      <c r="W246" s="148"/>
      <c r="X246" s="148"/>
      <c r="Y246" s="148"/>
      <c r="Z246" s="148"/>
      <c r="AL246" s="113"/>
      <c r="AN246" s="133"/>
      <c r="AO246" s="112"/>
      <c r="AP246" s="133"/>
      <c r="AQ246" s="112"/>
      <c r="AR246" s="133"/>
    </row>
    <row r="247" spans="1:44" s="136" customFormat="1" x14ac:dyDescent="0.2">
      <c r="A247" s="203" t="s">
        <v>150</v>
      </c>
      <c r="AL247" s="113"/>
      <c r="AN247" s="133"/>
      <c r="AO247" s="112"/>
      <c r="AP247" s="133"/>
      <c r="AQ247" s="112"/>
      <c r="AR247" s="133"/>
    </row>
    <row r="248" spans="1:44" s="136" customFormat="1" ht="12.75" customHeight="1" outlineLevel="1" x14ac:dyDescent="0.2">
      <c r="AL248" s="113"/>
      <c r="AN248" s="133"/>
      <c r="AO248" s="112"/>
      <c r="AP248" s="133"/>
      <c r="AQ248" s="112"/>
      <c r="AR248" s="133"/>
    </row>
    <row r="249" spans="1:44" s="136" customFormat="1" ht="12.75" customHeight="1" outlineLevel="1" x14ac:dyDescent="0.2">
      <c r="A249" s="204" t="s">
        <v>151</v>
      </c>
      <c r="AL249" s="113"/>
      <c r="AN249" s="133"/>
      <c r="AO249" s="112"/>
      <c r="AP249" s="133"/>
      <c r="AQ249" s="112"/>
      <c r="AR249" s="133"/>
    </row>
    <row r="250" spans="1:44" s="136" customFormat="1" x14ac:dyDescent="0.2">
      <c r="A250" s="147"/>
      <c r="B250" s="174">
        <f>Aprekini!B5</f>
        <v>2019</v>
      </c>
      <c r="C250" s="174">
        <f t="shared" ref="C250:AG250" si="792">B250+1</f>
        <v>2020</v>
      </c>
      <c r="D250" s="174">
        <f t="shared" si="792"/>
        <v>2021</v>
      </c>
      <c r="E250" s="174">
        <f t="shared" si="792"/>
        <v>2022</v>
      </c>
      <c r="F250" s="174">
        <f t="shared" si="792"/>
        <v>2023</v>
      </c>
      <c r="G250" s="174">
        <f t="shared" si="792"/>
        <v>2024</v>
      </c>
      <c r="H250" s="174">
        <f t="shared" si="792"/>
        <v>2025</v>
      </c>
      <c r="I250" s="174">
        <f t="shared" si="792"/>
        <v>2026</v>
      </c>
      <c r="J250" s="174">
        <f t="shared" si="792"/>
        <v>2027</v>
      </c>
      <c r="K250" s="174">
        <f t="shared" si="792"/>
        <v>2028</v>
      </c>
      <c r="L250" s="174">
        <f t="shared" si="792"/>
        <v>2029</v>
      </c>
      <c r="M250" s="174">
        <f t="shared" si="792"/>
        <v>2030</v>
      </c>
      <c r="N250" s="174">
        <f t="shared" si="792"/>
        <v>2031</v>
      </c>
      <c r="O250" s="174">
        <f t="shared" si="792"/>
        <v>2032</v>
      </c>
      <c r="P250" s="174">
        <f t="shared" si="792"/>
        <v>2033</v>
      </c>
      <c r="Q250" s="174">
        <f t="shared" si="792"/>
        <v>2034</v>
      </c>
      <c r="R250" s="174">
        <f t="shared" si="792"/>
        <v>2035</v>
      </c>
      <c r="S250" s="174">
        <f t="shared" si="792"/>
        <v>2036</v>
      </c>
      <c r="T250" s="174">
        <f t="shared" si="792"/>
        <v>2037</v>
      </c>
      <c r="U250" s="174">
        <f t="shared" si="792"/>
        <v>2038</v>
      </c>
      <c r="V250" s="174">
        <f t="shared" si="792"/>
        <v>2039</v>
      </c>
      <c r="W250" s="174">
        <f t="shared" si="792"/>
        <v>2040</v>
      </c>
      <c r="X250" s="174">
        <f t="shared" si="792"/>
        <v>2041</v>
      </c>
      <c r="Y250" s="174">
        <f t="shared" si="792"/>
        <v>2042</v>
      </c>
      <c r="Z250" s="174">
        <f t="shared" si="792"/>
        <v>2043</v>
      </c>
      <c r="AA250" s="174">
        <f t="shared" si="792"/>
        <v>2044</v>
      </c>
      <c r="AB250" s="174">
        <f t="shared" si="792"/>
        <v>2045</v>
      </c>
      <c r="AC250" s="174">
        <f t="shared" si="792"/>
        <v>2046</v>
      </c>
      <c r="AD250" s="174">
        <f t="shared" si="792"/>
        <v>2047</v>
      </c>
      <c r="AE250" s="174">
        <f t="shared" si="792"/>
        <v>2048</v>
      </c>
      <c r="AF250" s="174">
        <f t="shared" si="792"/>
        <v>2049</v>
      </c>
      <c r="AG250" s="174">
        <f t="shared" si="792"/>
        <v>2050</v>
      </c>
      <c r="AH250" s="174">
        <f>AG250+1</f>
        <v>2051</v>
      </c>
      <c r="AI250" s="174">
        <f>AH250+1</f>
        <v>2052</v>
      </c>
      <c r="AL250" s="113"/>
      <c r="AN250" s="133"/>
      <c r="AO250" s="112"/>
      <c r="AP250" s="133"/>
      <c r="AQ250" s="112"/>
      <c r="AR250" s="133"/>
    </row>
    <row r="251" spans="1:44" s="207" customFormat="1" ht="25.5" x14ac:dyDescent="0.2">
      <c r="A251" s="205" t="s">
        <v>152</v>
      </c>
      <c r="B251" s="206" t="str">
        <f>IF(Aprekini!B364=0,"-",Aprekini!B352/Aprekini!B364)</f>
        <v>-</v>
      </c>
      <c r="C251" s="206" t="str">
        <f>IF(Aprekini!C364=0,"-",Aprekini!C352/Aprekini!C364)</f>
        <v>-</v>
      </c>
      <c r="D251" s="206">
        <f>IF(Aprekini!D364=0,"-",Aprekini!D352/Aprekini!D364)</f>
        <v>23.552824629599368</v>
      </c>
      <c r="E251" s="206">
        <f>IF(Aprekini!E364=0,"-",Aprekini!E352/Aprekini!E364)</f>
        <v>25.625259354379807</v>
      </c>
      <c r="F251" s="206">
        <f>IF(Aprekini!F364=0,"-",Aprekini!F352/Aprekini!F364)</f>
        <v>29.818143661893913</v>
      </c>
      <c r="G251" s="206">
        <f>IF(Aprekini!G364=0,"-",Aprekini!G352/Aprekini!G364)</f>
        <v>34.154654501930601</v>
      </c>
      <c r="H251" s="206">
        <f>IF(Aprekini!H364=0,"-",Aprekini!H352/Aprekini!H364)</f>
        <v>38.65799029445764</v>
      </c>
      <c r="I251" s="206">
        <f>IF(Aprekini!I364=0,"-",Aprekini!I352/Aprekini!I364)</f>
        <v>42.924013085258295</v>
      </c>
      <c r="J251" s="206">
        <f>IF(Aprekini!J364=0,"-",Aprekini!J352/Aprekini!J364)</f>
        <v>47.375000806370672</v>
      </c>
      <c r="K251" s="206">
        <f>IF(Aprekini!K364=0,"-",Aprekini!K352/Aprekini!K364)</f>
        <v>51.951475082184253</v>
      </c>
      <c r="L251" s="206">
        <f>IF(Aprekini!L364=0,"-",Aprekini!L352/Aprekini!L364)</f>
        <v>56.605109730395029</v>
      </c>
      <c r="M251" s="206">
        <f>IF(Aprekini!M364=0,"-",Aprekini!M352/Aprekini!M364)</f>
        <v>60.967199709176967</v>
      </c>
      <c r="N251" s="206">
        <f>IF(Aprekini!N364=0,"-",Aprekini!N352/Aprekini!N364)</f>
        <v>481.9301838890899</v>
      </c>
      <c r="O251" s="206">
        <f>IF(Aprekini!O364=0,"-",Aprekini!O352/Aprekini!O364)</f>
        <v>509.26323668964761</v>
      </c>
      <c r="P251" s="206">
        <f>IF(Aprekini!P364=0,"-",Aprekini!P352/Aprekini!P364)</f>
        <v>535.54590752634874</v>
      </c>
      <c r="Q251" s="206">
        <f>IF(Aprekini!Q364=0,"-",Aprekini!Q352/Aprekini!Q364)</f>
        <v>563.42329575688109</v>
      </c>
      <c r="R251" s="206">
        <f>IF(Aprekini!R364=0,"-",Aprekini!R352/Aprekini!R364)</f>
        <v>590.0405984256555</v>
      </c>
      <c r="S251" s="206">
        <f>IF(Aprekini!S364=0,"-",Aprekini!S352/Aprekini!S364)</f>
        <v>618.25261848826085</v>
      </c>
      <c r="T251" s="206">
        <f>IF(Aprekini!T364=0,"-",Aprekini!T352/Aprekini!T364)</f>
        <v>645.20455298910827</v>
      </c>
      <c r="U251" s="206">
        <f>IF(Aprekini!U364=0,"-",Aprekini!U352/Aprekini!U364)</f>
        <v>673.75120488378673</v>
      </c>
      <c r="V251" s="206">
        <f>IF(Aprekini!V364=0,"-",Aprekini!V352/Aprekini!V364)</f>
        <v>701.33281361677211</v>
      </c>
      <c r="W251" s="206">
        <f>IF(Aprekini!W364=0,"-",Aprekini!W352/Aprekini!W364)</f>
        <v>730.49438762358557</v>
      </c>
      <c r="X251" s="206">
        <f>IF(Aprekini!X364=0,"-",Aprekini!X352/Aprekini!X364)</f>
        <v>758.39587606864086</v>
      </c>
      <c r="Y251" s="206">
        <f>IF(Aprekini!Y364=0,"-",Aprekini!Y352/Aprekini!Y364)</f>
        <v>787.89208190752731</v>
      </c>
      <c r="Z251" s="206">
        <f>IF(Aprekini!Z364=0,"-",Aprekini!Z352/Aprekini!Z364)</f>
        <v>816.12820218465572</v>
      </c>
      <c r="AA251" s="206">
        <f>IF(Aprekini!AA364=0,"-",Aprekini!AA352/Aprekini!AA364)</f>
        <v>845.95903985561517</v>
      </c>
      <c r="AB251" s="206">
        <f>IF(Aprekini!AB364=0,"-",Aprekini!AB352/Aprekini!AB364)</f>
        <v>876.57669565322396</v>
      </c>
      <c r="AC251" s="206">
        <f>IF(Aprekini!AC364=0,"-",Aprekini!AC352/Aprekini!AC364)</f>
        <v>905.52784777983652</v>
      </c>
      <c r="AD251" s="206">
        <f>IF(Aprekini!AD364=0,"-",Aprekini!AD352/Aprekini!AD364)</f>
        <v>935.35750467097364</v>
      </c>
      <c r="AE251" s="206">
        <f>IF(Aprekini!AE364=0,"-",Aprekini!AE352/Aprekini!AE364)</f>
        <v>965.94447544875345</v>
      </c>
      <c r="AF251" s="206">
        <f>IF(Aprekini!AF364=0,"-",Aprekini!AF352/Aprekini!AF364)</f>
        <v>996.16893470136984</v>
      </c>
      <c r="AG251" s="206">
        <f>IF(Aprekini!AG364=0,"-",Aprekini!AG352/Aprekini!AG364)</f>
        <v>1025.6473273087381</v>
      </c>
      <c r="AH251" s="206">
        <f>IF(Aprekini!AH364=0,"-",Aprekini!AH352/Aprekini!AH364)</f>
        <v>1057.4083077486307</v>
      </c>
      <c r="AI251" s="206">
        <f>IF(Aprekini!AI364=0,"-",Aprekini!AI352/Aprekini!AI364)</f>
        <v>1088.2872785453899</v>
      </c>
      <c r="AL251" s="113"/>
      <c r="AN251" s="133"/>
      <c r="AO251" s="112"/>
      <c r="AP251" s="133"/>
      <c r="AQ251" s="112"/>
      <c r="AR251" s="133"/>
    </row>
    <row r="252" spans="1:44" s="136" customFormat="1" x14ac:dyDescent="0.2">
      <c r="AL252" s="113"/>
      <c r="AN252" s="133"/>
      <c r="AO252" s="112"/>
      <c r="AP252" s="133"/>
      <c r="AQ252" s="112"/>
      <c r="AR252" s="133"/>
    </row>
    <row r="253" spans="1:44" s="136" customFormat="1" ht="25.5" outlineLevel="1" x14ac:dyDescent="0.2">
      <c r="A253" s="208" t="s">
        <v>153</v>
      </c>
      <c r="B253" s="206">
        <f>Aprekini!B352-Aprekini!B364</f>
        <v>203949.89599999995</v>
      </c>
      <c r="C253" s="206">
        <f>Aprekini!C352-Aprekini!C364</f>
        <v>171998.85353199995</v>
      </c>
      <c r="D253" s="206">
        <f>Aprekini!D352-Aprekini!D364</f>
        <v>179423.20325210484</v>
      </c>
      <c r="E253" s="206">
        <f>Aprekini!E352-Aprekini!E364</f>
        <v>217743.62414060481</v>
      </c>
      <c r="F253" s="206">
        <f>Aprekini!F352-Aprekini!F364</f>
        <v>254818.31284060472</v>
      </c>
      <c r="G253" s="206">
        <f>Aprekini!G352-Aprekini!G364</f>
        <v>293162.9886406046</v>
      </c>
      <c r="H253" s="206">
        <f>Aprekini!H352-Aprekini!H364</f>
        <v>332982.77864060458</v>
      </c>
      <c r="I253" s="206">
        <f>Aprekini!I352-Aprekini!I364</f>
        <v>370704.17884060449</v>
      </c>
      <c r="J253" s="206">
        <f>Aprekini!J352-Aprekini!J364</f>
        <v>410061.09214060451</v>
      </c>
      <c r="K253" s="206">
        <f>Aprekini!K352-Aprekini!K364</f>
        <v>450527.59364060452</v>
      </c>
      <c r="L253" s="206">
        <f>Aprekini!L352-Aprekini!L364</f>
        <v>491676.36934060458</v>
      </c>
      <c r="M253" s="206">
        <f>Aprekini!M352-Aprekini!M364</f>
        <v>530247.22324060462</v>
      </c>
      <c r="N253" s="206">
        <f>Aprekini!N352-Aprekini!N364</f>
        <v>567448.66357701959</v>
      </c>
      <c r="O253" s="206">
        <f>Aprekini!O352-Aprekini!O364</f>
        <v>599698.8836770195</v>
      </c>
      <c r="P253" s="206">
        <f>Aprekini!P352-Aprekini!P364</f>
        <v>630709.75997701939</v>
      </c>
      <c r="Q253" s="206">
        <f>Aprekini!Q352-Aprekini!Q364</f>
        <v>663602.24047701934</v>
      </c>
      <c r="R253" s="206">
        <f>Aprekini!R352-Aprekini!R364</f>
        <v>695007.94827701943</v>
      </c>
      <c r="S253" s="206">
        <f>Aprekini!S352-Aprekini!S364</f>
        <v>728295.26027701946</v>
      </c>
      <c r="T253" s="206">
        <f>Aprekini!T352-Aprekini!T364</f>
        <v>760095.79957701941</v>
      </c>
      <c r="U253" s="206">
        <f>Aprekini!U352-Aprekini!U364</f>
        <v>793777.9430770193</v>
      </c>
      <c r="V253" s="206">
        <f>Aprekini!V352-Aprekini!V364</f>
        <v>826321.43387701921</v>
      </c>
      <c r="W253" s="206">
        <f>Aprekini!W352-Aprekini!W364</f>
        <v>860729.12287701922</v>
      </c>
      <c r="X253" s="206">
        <f>Aprekini!X352-Aprekini!X364</f>
        <v>893650.03917701915</v>
      </c>
      <c r="Y253" s="206">
        <f>Aprekini!Y352-Aprekini!Y364</f>
        <v>928452.55967701902</v>
      </c>
      <c r="Z253" s="206">
        <f>Aprekini!Z352-Aprekini!Z364</f>
        <v>961768.30747701891</v>
      </c>
      <c r="AA253" s="206">
        <f>Aprekini!AA352-Aprekini!AA364</f>
        <v>996965.65947701887</v>
      </c>
      <c r="AB253" s="206">
        <f>Aprekini!AB352-Aprekini!AB364</f>
        <v>1033091.3767770189</v>
      </c>
      <c r="AC253" s="206">
        <f>Aprekini!AC352-Aprekini!AC364</f>
        <v>1067250.7893770188</v>
      </c>
      <c r="AD253" s="206">
        <f>Aprekini!AD352-Aprekini!AD364</f>
        <v>1102446.7481770187</v>
      </c>
      <c r="AE253" s="206">
        <f>Aprekini!AE352-Aprekini!AE364</f>
        <v>1138536.2602770186</v>
      </c>
      <c r="AF253" s="206">
        <f>Aprekini!AF352-Aprekini!AF364</f>
        <v>1174198.0456770186</v>
      </c>
      <c r="AG253" s="206">
        <f>Aprekini!AG352-Aprekini!AG364</f>
        <v>1208979.5483770187</v>
      </c>
      <c r="AH253" s="206">
        <f>Aprekini!AH352-Aprekini!AH364</f>
        <v>1246454.2723770186</v>
      </c>
      <c r="AI253" s="206">
        <f>Aprekini!AI352-Aprekini!AI364</f>
        <v>1282888.3147770185</v>
      </c>
      <c r="AL253" s="113"/>
      <c r="AN253" s="133"/>
      <c r="AO253" s="112"/>
      <c r="AP253" s="133"/>
      <c r="AQ253" s="112"/>
      <c r="AR253" s="133"/>
    </row>
    <row r="254" spans="1:44" s="136" customFormat="1" outlineLevel="1" x14ac:dyDescent="0.2">
      <c r="A254" s="209"/>
      <c r="B254" s="210"/>
      <c r="C254" s="210"/>
      <c r="D254" s="210"/>
      <c r="E254" s="210"/>
      <c r="F254" s="210"/>
      <c r="G254" s="210"/>
      <c r="H254" s="210"/>
      <c r="I254" s="210"/>
      <c r="J254" s="210"/>
      <c r="K254" s="210"/>
      <c r="L254" s="210"/>
      <c r="M254" s="210"/>
      <c r="N254" s="210"/>
      <c r="O254" s="210"/>
      <c r="P254" s="210"/>
      <c r="Q254" s="210"/>
      <c r="R254" s="210"/>
      <c r="S254" s="210"/>
      <c r="T254" s="210"/>
      <c r="U254" s="210"/>
      <c r="V254" s="210"/>
      <c r="W254" s="210"/>
      <c r="X254" s="210"/>
      <c r="Y254" s="210"/>
      <c r="Z254" s="210"/>
      <c r="AA254" s="210"/>
      <c r="AB254" s="210"/>
      <c r="AC254" s="210"/>
      <c r="AD254" s="210"/>
      <c r="AE254" s="210"/>
      <c r="AF254" s="210"/>
      <c r="AG254" s="210"/>
      <c r="AH254" s="210"/>
      <c r="AI254" s="210"/>
      <c r="AL254" s="113"/>
      <c r="AN254" s="133"/>
      <c r="AO254" s="112"/>
      <c r="AP254" s="133"/>
      <c r="AQ254" s="112"/>
      <c r="AR254" s="133"/>
    </row>
    <row r="255" spans="1:44" s="136" customFormat="1" ht="38.25" x14ac:dyDescent="0.2">
      <c r="A255" s="211" t="s">
        <v>154</v>
      </c>
      <c r="B255" s="212" t="str">
        <f>IF((B307+B308)=0,"-",'Saimnieciskas pamatdarbibas NP'!B96/(B307+B308))</f>
        <v>-</v>
      </c>
      <c r="C255" s="206" t="str">
        <f>IF((C307+C308)=0,"-",'Saimnieciskas pamatdarbibas NP'!C96/(C307+C308))</f>
        <v>-</v>
      </c>
      <c r="D255" s="206">
        <f>IF((D307+D308)=0,"-",'Saimnieciskas pamatdarbibas NP'!D96/(D307+D308))</f>
        <v>33.689400999999954</v>
      </c>
      <c r="E255" s="206">
        <f>IF((E307+E308)=0,"-",'Saimnieciskas pamatdarbibas NP'!E96/(E307+E308))</f>
        <v>10.767226571428573</v>
      </c>
      <c r="F255" s="206">
        <f>IF((F307+F308)=0,"-",'Saimnieciskas pamatdarbibas NP'!F96/(F307+F308))</f>
        <v>10.882677058823534</v>
      </c>
      <c r="G255" s="206">
        <f>IF((G307+G308)=0,"-",'Saimnieciskas pamatdarbibas NP'!G96/(G307+G308))</f>
        <v>11.438436363636354</v>
      </c>
      <c r="H255" s="206">
        <f>IF((H307+H308)=0,"-",'Saimnieciskas pamatdarbibas NP'!H96/(H307+H308))</f>
        <v>12.083324375000011</v>
      </c>
      <c r="I255" s="206">
        <f>IF((I307+I308)=0,"-",'Saimnieciskas pamatdarbibas NP'!I96/(I307+I308))</f>
        <v>12.196253870967757</v>
      </c>
      <c r="J255" s="206">
        <f>IF((J307+J308)=0,"-",'Saimnieciskas pamatdarbibas NP'!J96/(J307+J308))</f>
        <v>12.90939499999998</v>
      </c>
      <c r="K255" s="206">
        <f>IF((K307+K308)=0,"-",'Saimnieciskas pamatdarbibas NP'!K96/(K307+K308))</f>
        <v>13.611697586206899</v>
      </c>
      <c r="L255" s="206">
        <f>IF((L307+L308)=0,"-",'Saimnieciskas pamatdarbibas NP'!L96/(L307+L308))</f>
        <v>14.284750357142871</v>
      </c>
      <c r="M255" s="206">
        <f>IF((M307+M308)=0,"-",'Saimnieciskas pamatdarbibas NP'!M96/(M307+M308))</f>
        <v>14.41358888888889</v>
      </c>
      <c r="N255" s="206">
        <f>IF((N307+N308)=0,"-",'Saimnieciskas pamatdarbibas NP'!N96/(N307+N308))</f>
        <v>13.280361153846158</v>
      </c>
      <c r="O255" s="206" t="str">
        <f>IF((O307+O308)=0,"-",'Saimnieciskas pamatdarbibas NP'!O96/(O307+O308))</f>
        <v>-</v>
      </c>
      <c r="P255" s="206" t="str">
        <f>IF((P307+P308)=0,"-",'Saimnieciskas pamatdarbibas NP'!P96/(P307+P308))</f>
        <v>-</v>
      </c>
      <c r="Q255" s="206" t="str">
        <f>IF((Q307+Q308)=0,"-",'Saimnieciskas pamatdarbibas NP'!Q96/(Q307+Q308))</f>
        <v>-</v>
      </c>
      <c r="R255" s="206" t="str">
        <f>IF((R307+R308)=0,"-",'Saimnieciskas pamatdarbibas NP'!R96/(R307+R308))</f>
        <v>-</v>
      </c>
      <c r="S255" s="206" t="str">
        <f>IF((S307+S308)=0,"-",'Saimnieciskas pamatdarbibas NP'!S96/(S307+S308))</f>
        <v>-</v>
      </c>
      <c r="T255" s="206" t="str">
        <f>IF((T307+T308)=0,"-",'Saimnieciskas pamatdarbibas NP'!T96/(T307+T308))</f>
        <v>-</v>
      </c>
      <c r="U255" s="206" t="str">
        <f>IF((U307+U308)=0,"-",'Saimnieciskas pamatdarbibas NP'!U96/(U307+U308))</f>
        <v>-</v>
      </c>
      <c r="V255" s="206" t="str">
        <f>IF((V307+V308)=0,"-",'Saimnieciskas pamatdarbibas NP'!V96/(V307+V308))</f>
        <v>-</v>
      </c>
      <c r="W255" s="206" t="str">
        <f>IF((W307+W308)=0,"-",'Saimnieciskas pamatdarbibas NP'!W96/(W307+W308))</f>
        <v>-</v>
      </c>
      <c r="X255" s="206" t="str">
        <f>IF((X307+X308)=0,"-",'Saimnieciskas pamatdarbibas NP'!X96/(X307+X308))</f>
        <v>-</v>
      </c>
      <c r="Y255" s="206" t="str">
        <f>IF((Y307+Y308)=0,"-",'Saimnieciskas pamatdarbibas NP'!Y96/(Y307+Y308))</f>
        <v>-</v>
      </c>
      <c r="Z255" s="206" t="str">
        <f>IF((Z307+Z308)=0,"-",'Saimnieciskas pamatdarbibas NP'!Z96/(Z307+Z308))</f>
        <v>-</v>
      </c>
      <c r="AA255" s="206" t="str">
        <f>IF((AA307+AA308)=0,"-",'Saimnieciskas pamatdarbibas NP'!AA96/(AA307+AA308))</f>
        <v>-</v>
      </c>
      <c r="AB255" s="206" t="str">
        <f>IF((AB307+AB308)=0,"-",'Saimnieciskas pamatdarbibas NP'!AB96/(AB307+AB308))</f>
        <v>-</v>
      </c>
      <c r="AC255" s="206" t="str">
        <f>IF((AC307+AC308)=0,"-",'Saimnieciskas pamatdarbibas NP'!AC96/(AC307+AC308))</f>
        <v>-</v>
      </c>
      <c r="AD255" s="206" t="str">
        <f>IF((AD307+AD308)=0,"-",'Saimnieciskas pamatdarbibas NP'!AD96/(AD307+AD308))</f>
        <v>-</v>
      </c>
      <c r="AE255" s="206" t="str">
        <f>IF((AE307+AE308)=0,"-",'Saimnieciskas pamatdarbibas NP'!AE96/(AE307+AE308))</f>
        <v>-</v>
      </c>
      <c r="AF255" s="206" t="str">
        <f>IF((AF307+AF308)=0,"-",'Saimnieciskas pamatdarbibas NP'!AF96/(AF307+AF308))</f>
        <v>-</v>
      </c>
      <c r="AG255" s="206" t="str">
        <f>IF((AG307+AG308)=0,"-",'Saimnieciskas pamatdarbibas NP'!AG96/(AG307+AG308))</f>
        <v>-</v>
      </c>
      <c r="AH255" s="206" t="str">
        <f>IF((AH307+AH308)=0,"-",'Saimnieciskas pamatdarbibas NP'!AH96/(AH307+AH308))</f>
        <v>-</v>
      </c>
      <c r="AI255" s="206" t="str">
        <f>IF((AI307+AI308)=0,"-",'Saimnieciskas pamatdarbibas NP'!AI96/(AI307+AI308))</f>
        <v>-</v>
      </c>
      <c r="AL255" s="113"/>
      <c r="AN255" s="133"/>
      <c r="AO255" s="112"/>
      <c r="AP255" s="133"/>
      <c r="AQ255" s="112"/>
      <c r="AR255" s="133"/>
    </row>
    <row r="256" spans="1:44" s="136" customFormat="1" x14ac:dyDescent="0.2">
      <c r="AL256" s="113"/>
      <c r="AN256" s="133"/>
      <c r="AO256" s="112"/>
      <c r="AP256" s="133"/>
      <c r="AQ256" s="112"/>
      <c r="AR256" s="133"/>
    </row>
    <row r="257" spans="1:44" s="136" customFormat="1" outlineLevel="1" x14ac:dyDescent="0.2">
      <c r="A257" s="204" t="s">
        <v>155</v>
      </c>
      <c r="AL257" s="113"/>
      <c r="AN257" s="133"/>
      <c r="AO257" s="112"/>
      <c r="AP257" s="133"/>
      <c r="AQ257" s="112"/>
      <c r="AR257" s="133"/>
    </row>
    <row r="258" spans="1:44" s="136" customFormat="1" outlineLevel="1" x14ac:dyDescent="0.2">
      <c r="AL258" s="113"/>
      <c r="AN258" s="133"/>
      <c r="AO258" s="112"/>
      <c r="AP258" s="133"/>
      <c r="AQ258" s="112"/>
      <c r="AR258" s="133"/>
    </row>
    <row r="259" spans="1:44" s="136" customFormat="1" ht="25.5" outlineLevel="1" x14ac:dyDescent="0.2">
      <c r="A259" s="208" t="s">
        <v>156</v>
      </c>
      <c r="B259" s="206">
        <f>IF(Aprekini!B354=0,"-",'Saimnieciskas pamatdarbibas NP'!B39/Aprekini!B354)</f>
        <v>5.9866868345465445</v>
      </c>
      <c r="C259" s="206">
        <f>IF(Aprekini!C354=0,"-",'Saimnieciskas pamatdarbibas NP'!C39/Aprekini!C354)</f>
        <v>4.1602632955863825</v>
      </c>
      <c r="D259" s="206">
        <f>IF(Aprekini!D354=0,"-",'Saimnieciskas pamatdarbibas NP'!D39/Aprekini!D354)</f>
        <v>1.8175625694528894</v>
      </c>
      <c r="E259" s="206">
        <f>IF(Aprekini!E354=0,"-",'Saimnieciskas pamatdarbibas NP'!E39/Aprekini!E354)</f>
        <v>1.7556263028435011</v>
      </c>
      <c r="F259" s="206">
        <f>IF(Aprekini!F354=0,"-",'Saimnieciskas pamatdarbibas NP'!F39/Aprekini!F354)</f>
        <v>1.856791197796229</v>
      </c>
      <c r="G259" s="206">
        <f>IF(Aprekini!G354=0,"-",'Saimnieciskas pamatdarbibas NP'!G39/Aprekini!G354)</f>
        <v>1.834329200527385</v>
      </c>
      <c r="H259" s="206">
        <f>IF(Aprekini!H354=0,"-",'Saimnieciskas pamatdarbibas NP'!H39/Aprekini!H354)</f>
        <v>1.8202928308736339</v>
      </c>
      <c r="I259" s="206">
        <f>IF(Aprekini!I354=0,"-",'Saimnieciskas pamatdarbibas NP'!I39/Aprekini!I354)</f>
        <v>1.8082585023939068</v>
      </c>
      <c r="J259" s="206">
        <f>IF(Aprekini!J354=0,"-",'Saimnieciskas pamatdarbibas NP'!J39/Aprekini!J354)</f>
        <v>1.8932687821334921</v>
      </c>
      <c r="K259" s="206">
        <f>IF(Aprekini!K354=0,"-",'Saimnieciskas pamatdarbibas NP'!K39/Aprekini!K354)</f>
        <v>1.7751357589208101</v>
      </c>
      <c r="L259" s="206">
        <f>IF(Aprekini!L354=0,"-",'Saimnieciskas pamatdarbibas NP'!L39/Aprekini!L354)</f>
        <v>1.8121840266370477</v>
      </c>
      <c r="M259" s="206">
        <f>IF(Aprekini!M354=0,"-",'Saimnieciskas pamatdarbibas NP'!M39/Aprekini!M354)</f>
        <v>1.7551063939335725</v>
      </c>
      <c r="N259" s="206">
        <f>IF(Aprekini!N354=0,"-",'Saimnieciskas pamatdarbibas NP'!N39/Aprekini!N354)</f>
        <v>1.8169116386097066</v>
      </c>
      <c r="O259" s="206">
        <f>IF(Aprekini!O354=0,"-",'Saimnieciskas pamatdarbibas NP'!O39/Aprekini!O354)</f>
        <v>1.7580436756063469</v>
      </c>
      <c r="P259" s="206">
        <f>IF(Aprekini!P354=0,"-",'Saimnieciskas pamatdarbibas NP'!P39/Aprekini!P354)</f>
        <v>1.7867674969694725</v>
      </c>
      <c r="Q259" s="206">
        <f>IF(Aprekini!Q354=0,"-",'Saimnieciskas pamatdarbibas NP'!Q39/Aprekini!Q354)</f>
        <v>1.7188569271403105</v>
      </c>
      <c r="R259" s="206">
        <f>IF(Aprekini!R354=0,"-",'Saimnieciskas pamatdarbibas NP'!R39/Aprekini!R354)</f>
        <v>1.8403611209282413</v>
      </c>
      <c r="S259" s="206">
        <f>IF(Aprekini!S354=0,"-",'Saimnieciskas pamatdarbibas NP'!S39/Aprekini!S354)</f>
        <v>1.7740258748744817</v>
      </c>
      <c r="T259" s="206">
        <f>IF(Aprekini!T354=0,"-",'Saimnieciskas pamatdarbibas NP'!T39/Aprekini!T354)</f>
        <v>1.8001449285030235</v>
      </c>
      <c r="U259" s="206">
        <f>IF(Aprekini!U354=0,"-",'Saimnieciskas pamatdarbibas NP'!U39/Aprekini!U354)</f>
        <v>1.7372991161213451</v>
      </c>
      <c r="V259" s="206">
        <f>IF(Aprekini!V354=0,"-",'Saimnieciskas pamatdarbibas NP'!V39/Aprekini!V354)</f>
        <v>1.7622871733501806</v>
      </c>
      <c r="W259" s="206">
        <f>IF(Aprekini!W354=0,"-",'Saimnieciskas pamatdarbibas NP'!W39/Aprekini!W354)</f>
        <v>1.702641635605989</v>
      </c>
      <c r="X259" s="206">
        <f>IF(Aprekini!X354=0,"-",'Saimnieciskas pamatdarbibas NP'!X39/Aprekini!X354)</f>
        <v>1.7279971087431589</v>
      </c>
      <c r="Y259" s="206">
        <f>IF(Aprekini!Y354=0,"-",'Saimnieciskas pamatdarbibas NP'!Y39/Aprekini!Y354)</f>
        <v>1.7523343419634965</v>
      </c>
      <c r="Z259" s="206">
        <f>IF(Aprekini!Z354=0,"-",'Saimnieciskas pamatdarbibas NP'!Z39/Aprekini!Z354)</f>
        <v>1.7024354366014844</v>
      </c>
      <c r="AA259" s="206">
        <f>IF(Aprekini!AA354=0,"-",'Saimnieciskas pamatdarbibas NP'!AA39/Aprekini!AA354)</f>
        <v>1.7202696597760825</v>
      </c>
      <c r="AB259" s="206">
        <f>IF(Aprekini!AB354=0,"-",'Saimnieciskas pamatdarbibas NP'!AB39/Aprekini!AB354)</f>
        <v>1.7034549358287572</v>
      </c>
      <c r="AC259" s="206">
        <f>IF(Aprekini!AC354=0,"-",'Saimnieciskas pamatdarbibas NP'!AC39/Aprekini!AC354)</f>
        <v>1.6984443699590051</v>
      </c>
      <c r="AD259" s="206">
        <f>IF(Aprekini!AD354=0,"-",'Saimnieciskas pamatdarbibas NP'!AD39/Aprekini!AD354)</f>
        <v>1.6826385031359592</v>
      </c>
      <c r="AE259" s="206">
        <f>IF(Aprekini!AE354=0,"-",'Saimnieciskas pamatdarbibas NP'!AE39/Aprekini!AE354)</f>
        <v>1.6674252103227543</v>
      </c>
      <c r="AF259" s="206">
        <f>IF(Aprekini!AF354=0,"-",'Saimnieciskas pamatdarbibas NP'!AF39/Aprekini!AF354)</f>
        <v>1.6530956238112544</v>
      </c>
      <c r="AG259" s="206">
        <f>IF(Aprekini!AG354=0,"-",'Saimnieciskas pamatdarbibas NP'!AG39/Aprekini!AG354)</f>
        <v>1.6399133003849464</v>
      </c>
      <c r="AH259" s="206">
        <f>IF(Aprekini!AH354=0,"-",'Saimnieciskas pamatdarbibas NP'!AH39/Aprekini!AH354)</f>
        <v>1.6843673424001457</v>
      </c>
      <c r="AI259" s="206">
        <f>IF(Aprekini!AI354=0,"-",'Saimnieciskas pamatdarbibas NP'!AI39/Aprekini!AI354)</f>
        <v>1.6711369301522401</v>
      </c>
      <c r="AL259" s="113"/>
      <c r="AN259" s="133"/>
      <c r="AO259" s="112"/>
      <c r="AP259" s="133"/>
      <c r="AQ259" s="112"/>
      <c r="AR259" s="133"/>
    </row>
    <row r="260" spans="1:44" s="136" customFormat="1" outlineLevel="1" x14ac:dyDescent="0.2">
      <c r="AL260" s="113"/>
      <c r="AN260" s="133"/>
      <c r="AO260" s="112"/>
      <c r="AP260" s="133"/>
      <c r="AQ260" s="112"/>
      <c r="AR260" s="133"/>
    </row>
    <row r="261" spans="1:44" s="136" customFormat="1" ht="25.5" outlineLevel="1" x14ac:dyDescent="0.2">
      <c r="A261" s="208" t="s">
        <v>157</v>
      </c>
      <c r="B261" s="206">
        <f>IF(Aprekini!B352=0,"-",'Saimnieciskas pamatdarbibas NP'!B39/Aprekini!B352)</f>
        <v>1.0000000000000007</v>
      </c>
      <c r="C261" s="206">
        <f>IF(Aprekini!C352=0,"-",'Saimnieciskas pamatdarbibas NP'!C39/Aprekini!C352)</f>
        <v>0.75086576478820743</v>
      </c>
      <c r="D261" s="206">
        <f>IF(Aprekini!D352=0,"-",'Saimnieciskas pamatdarbibas NP'!D39/Aprekini!D352)</f>
        <v>0.28288460114141789</v>
      </c>
      <c r="E261" s="206">
        <f>IF(Aprekini!E352=0,"-",'Saimnieciskas pamatdarbibas NP'!E39/Aprekini!E352)</f>
        <v>0.23343312876764902</v>
      </c>
      <c r="F261" s="206">
        <f>IF(Aprekini!F352=0,"-",'Saimnieciskas pamatdarbibas NP'!F39/Aprekini!F352)</f>
        <v>0.21513689196082761</v>
      </c>
      <c r="G261" s="206">
        <f>IF(Aprekini!G352=0,"-",'Saimnieciskas pamatdarbibas NP'!G39/Aprekini!G352)</f>
        <v>0.18897807555015095</v>
      </c>
      <c r="H261" s="206">
        <f>IF(Aprekini!H352=0,"-",'Saimnieciskas pamatdarbibas NP'!H39/Aprekini!H352)</f>
        <v>0.16878475982878491</v>
      </c>
      <c r="I261" s="206">
        <f>IF(Aprekini!I352=0,"-",'Saimnieciskas pamatdarbibas NP'!I39/Aprekini!I352)</f>
        <v>0.15293019601100236</v>
      </c>
      <c r="J261" s="206">
        <f>IF(Aprekini!J352=0,"-",'Saimnieciskas pamatdarbibas NP'!J39/Aprekini!J352)</f>
        <v>0.14770606373738129</v>
      </c>
      <c r="K261" s="206">
        <f>IF(Aprekini!K352=0,"-",'Saimnieciskas pamatdarbibas NP'!K39/Aprekini!K352)</f>
        <v>0.1284713202079685</v>
      </c>
      <c r="L261" s="206">
        <f>IF(Aprekini!L352=0,"-",'Saimnieciskas pamatdarbibas NP'!L39/Aprekini!L352)</f>
        <v>0.12260307993620251</v>
      </c>
      <c r="M261" s="206">
        <f>IF(Aprekini!M352=0,"-",'Saimnieciskas pamatdarbibas NP'!M39/Aprekini!M352)</f>
        <v>0.11173133866388141</v>
      </c>
      <c r="N261" s="206">
        <f>IF(Aprekini!N352=0,"-",'Saimnieciskas pamatdarbibas NP'!N39/Aprekini!N352)</f>
        <v>0.11005858781207764</v>
      </c>
      <c r="O261" s="206">
        <f>IF(Aprekini!O352=0,"-",'Saimnieciskas pamatdarbibas NP'!O39/Aprekini!O352)</f>
        <v>0.1025813709153225</v>
      </c>
      <c r="P261" s="206">
        <f>IF(Aprekini!P352=0,"-",'Saimnieciskas pamatdarbibas NP'!P39/Aprekini!P352)</f>
        <v>0.10113072602461771</v>
      </c>
      <c r="Q261" s="206">
        <f>IF(Aprekini!Q352=0,"-",'Saimnieciskas pamatdarbibas NP'!Q39/Aprekini!Q352)</f>
        <v>9.470766276039902E-2</v>
      </c>
      <c r="R261" s="206">
        <f>IF(Aprekini!R352=0,"-",'Saimnieciskas pamatdarbibas NP'!R39/Aprekini!R352)</f>
        <v>9.868838366913997E-2</v>
      </c>
      <c r="S261" s="206">
        <f>IF(Aprekini!S352=0,"-",'Saimnieciskas pamatdarbibas NP'!S39/Aprekini!S352)</f>
        <v>9.2891670417471414E-2</v>
      </c>
      <c r="T261" s="206">
        <f>IF(Aprekini!T352=0,"-",'Saimnieciskas pamatdarbibas NP'!T39/Aprekini!T352)</f>
        <v>9.1985921662116568E-2</v>
      </c>
      <c r="U261" s="206">
        <f>IF(Aprekini!U352=0,"-",'Saimnieciskas pamatdarbibas NP'!U39/Aprekini!U352)</f>
        <v>8.6901664229225947E-2</v>
      </c>
      <c r="V261" s="206">
        <f>IF(Aprekini!V352=0,"-",'Saimnieciskas pamatdarbibas NP'!V39/Aprekini!V352)</f>
        <v>8.6220586400714991E-2</v>
      </c>
      <c r="W261" s="206">
        <f>IF(Aprekini!W352=0,"-",'Saimnieciskas pamatdarbibas NP'!W39/Aprekini!W352)</f>
        <v>8.1683972527782367E-2</v>
      </c>
      <c r="X261" s="206">
        <f>IF(Aprekini!X352=0,"-",'Saimnieciskas pamatdarbibas NP'!X39/Aprekini!X352)</f>
        <v>8.1209446022915854E-2</v>
      </c>
      <c r="Y261" s="206">
        <f>IF(Aprekini!Y352=0,"-",'Saimnieciskas pamatdarbibas NP'!Y39/Aprekini!Y352)</f>
        <v>8.0899021502388951E-2</v>
      </c>
      <c r="Z261" s="206">
        <f>IF(Aprekini!Z352=0,"-",'Saimnieciskas pamatdarbibas NP'!Z39/Aprekini!Z352)</f>
        <v>7.7120304561906633E-2</v>
      </c>
      <c r="AA261" s="206">
        <f>IF(Aprekini!AA352=0,"-",'Saimnieciskas pamatdarbibas NP'!AA39/Aprekini!AA352)</f>
        <v>7.6669528818281651E-2</v>
      </c>
      <c r="AB261" s="206">
        <f>IF(Aprekini!AB352=0,"-",'Saimnieciskas pamatdarbibas NP'!AB39/Aprekini!AB352)</f>
        <v>7.4748900186652825E-2</v>
      </c>
      <c r="AC261" s="206">
        <f>IF(Aprekini!AC352=0,"-",'Saimnieciskas pamatdarbibas NP'!AC39/Aprekini!AC352)</f>
        <v>7.3347924119360017E-2</v>
      </c>
      <c r="AD261" s="206">
        <f>IF(Aprekini!AD352=0,"-",'Saimnieciskas pamatdarbibas NP'!AD39/Aprekini!AD352)</f>
        <v>7.1718523613984397E-2</v>
      </c>
      <c r="AE261" s="206">
        <f>IF(Aprekini!AE352=0,"-",'Saimnieciskas pamatdarbibas NP'!AE39/Aprekini!AE352)</f>
        <v>7.0134799620673788E-2</v>
      </c>
      <c r="AF261" s="206">
        <f>IF(Aprekini!AF352=0,"-",'Saimnieciskas pamatdarbibas NP'!AF39/Aprekini!AF352)</f>
        <v>6.8833607454275511E-2</v>
      </c>
      <c r="AG261" s="206">
        <f>IF(Aprekini!AG352=0,"-",'Saimnieciskas pamatdarbibas NP'!AG39/Aprekini!AG352)</f>
        <v>6.7658227873070687E-2</v>
      </c>
      <c r="AH261" s="206">
        <f>IF(Aprekini!AH352=0,"-",'Saimnieciskas pamatdarbibas NP'!AH39/Aprekini!AH352)</f>
        <v>6.8976117542085408E-2</v>
      </c>
      <c r="AI261" s="206">
        <f>IF(Aprekini!AI352=0,"-",'Saimnieciskas pamatdarbibas NP'!AI39/Aprekini!AI352)</f>
        <v>6.7775753592938914E-2</v>
      </c>
      <c r="AL261" s="113"/>
      <c r="AN261" s="133"/>
      <c r="AO261" s="112"/>
      <c r="AP261" s="133"/>
      <c r="AQ261" s="112"/>
      <c r="AR261" s="133"/>
    </row>
    <row r="262" spans="1:44" s="136" customFormat="1" outlineLevel="1" x14ac:dyDescent="0.2">
      <c r="AL262" s="113"/>
      <c r="AN262" s="133"/>
      <c r="AO262" s="112"/>
      <c r="AP262" s="133"/>
      <c r="AQ262" s="112"/>
      <c r="AR262" s="133"/>
    </row>
    <row r="263" spans="1:44" s="136" customFormat="1" ht="25.5" outlineLevel="1" x14ac:dyDescent="0.2">
      <c r="A263" s="208" t="s">
        <v>158</v>
      </c>
      <c r="B263" s="206">
        <f>IF(Aprekini!B355=0,"-",'Saimnieciskas pamatdarbibas NP'!B39/Aprekini!B355)</f>
        <v>4.0002977925580961E-2</v>
      </c>
      <c r="C263" s="206">
        <f>IF(Aprekini!C355=0,"-",'Saimnieciskas pamatdarbibas NP'!C39/Aprekini!C355)</f>
        <v>2.4403375395418307E-2</v>
      </c>
      <c r="D263" s="206">
        <f>IF(Aprekini!D355=0,"-",'Saimnieciskas pamatdarbibas NP'!D39/Aprekini!D355)</f>
        <v>9.9843941135699544E-3</v>
      </c>
      <c r="E263" s="206">
        <f>IF(Aprekini!E355=0,"-",'Saimnieciskas pamatdarbibas NP'!E39/Aprekini!E355)</f>
        <v>9.9592254859510489E-3</v>
      </c>
      <c r="F263" s="206">
        <f>IF(Aprekini!F355=0,"-",'Saimnieciskas pamatdarbibas NP'!F39/Aprekini!F355)</f>
        <v>1.0680783719371546E-2</v>
      </c>
      <c r="G263" s="206">
        <f>IF(Aprekini!G355=0,"-",'Saimnieciskas pamatdarbibas NP'!G39/Aprekini!G355)</f>
        <v>1.0744295016095499E-2</v>
      </c>
      <c r="H263" s="206">
        <f>IF(Aprekini!H355=0,"-",'Saimnieciskas pamatdarbibas NP'!H39/Aprekini!H355)</f>
        <v>1.0856192712667316E-2</v>
      </c>
      <c r="I263" s="206">
        <f>IF(Aprekini!I355=0,"-",'Saimnieciskas pamatdarbibas NP'!I39/Aprekini!I355)</f>
        <v>1.0920903575265622E-2</v>
      </c>
      <c r="J263" s="206">
        <f>IF(Aprekini!J355=0,"-",'Saimnieciskas pamatdarbibas NP'!J39/Aprekini!J355)</f>
        <v>1.1636943540690961E-2</v>
      </c>
      <c r="K263" s="206">
        <f>IF(Aprekini!K355=0,"-",'Saimnieciskas pamatdarbibas NP'!K39/Aprekini!K355)</f>
        <v>1.1092547338067979E-2</v>
      </c>
      <c r="L263" s="206">
        <f>IF(Aprekini!L355=0,"-",'Saimnieciskas pamatdarbibas NP'!L39/Aprekini!L355)</f>
        <v>1.152562778212469E-2</v>
      </c>
      <c r="M263" s="206">
        <f>IF(Aprekini!M355=0,"-",'Saimnieciskas pamatdarbibas NP'!M39/Aprekini!M355)</f>
        <v>1.1310181817372082E-2</v>
      </c>
      <c r="N263" s="206">
        <f>IF(Aprekini!N355=0,"-",'Saimnieciskas pamatdarbibas NP'!N39/Aprekini!N355)</f>
        <v>1.1733033253260985E-2</v>
      </c>
      <c r="O263" s="206">
        <f>IF(Aprekini!O355=0,"-",'Saimnieciskas pamatdarbibas NP'!O39/Aprekini!O355)</f>
        <v>1.1532348441251868E-2</v>
      </c>
      <c r="P263" s="206">
        <f>IF(Aprekini!P355=0,"-",'Saimnieciskas pamatdarbibas NP'!P39/Aprekini!P355)</f>
        <v>1.1934213496790837E-2</v>
      </c>
      <c r="Q263" s="206">
        <f>IF(Aprekini!Q355=0,"-",'Saimnieciskas pamatdarbibas NP'!Q39/Aprekini!Q355)</f>
        <v>1.1732486779382698E-2</v>
      </c>
      <c r="R263" s="206">
        <f>IF(Aprekini!R355=0,"-",'Saimnieciskas pamatdarbibas NP'!R39/Aprekini!R355)</f>
        <v>1.2778986013921967E-2</v>
      </c>
      <c r="S263" s="206">
        <f>IF(Aprekini!S355=0,"-",'Saimnieciskas pamatdarbibas NP'!S39/Aprekini!S355)</f>
        <v>1.2575329824901338E-2</v>
      </c>
      <c r="T263" s="206">
        <f>IF(Aprekini!T355=0,"-",'Saimnieciskas pamatdarbibas NP'!T39/Aprekini!T355)</f>
        <v>1.2970160979553835E-2</v>
      </c>
      <c r="U263" s="206">
        <f>IF(Aprekini!U355=0,"-",'Saimnieciskas pamatdarbibas NP'!U39/Aprekini!U355)</f>
        <v>1.2765998427436443E-2</v>
      </c>
      <c r="V263" s="206">
        <f>IF(Aprekini!V355=0,"-",'Saimnieciskas pamatdarbibas NP'!V39/Aprekini!V355)</f>
        <v>1.3156982737901298E-2</v>
      </c>
      <c r="W263" s="206">
        <f>IF(Aprekini!W355=0,"-",'Saimnieciskas pamatdarbibas NP'!W39/Aprekini!W355)</f>
        <v>1.295155361718326E-2</v>
      </c>
      <c r="X263" s="206">
        <f>IF(Aprekini!X355=0,"-",'Saimnieciskas pamatdarbibas NP'!X39/Aprekini!X355)</f>
        <v>1.3339472713978768E-2</v>
      </c>
      <c r="Y263" s="206">
        <f>IF(Aprekini!Y355=0,"-",'Saimnieciskas pamatdarbibas NP'!Y39/Aprekini!Y355)</f>
        <v>1.3771032830093025E-2</v>
      </c>
      <c r="Z263" s="206">
        <f>IF(Aprekini!Z355=0,"-",'Saimnieciskas pamatdarbibas NP'!Z39/Aprekini!Z355)</f>
        <v>1.3568274502576375E-2</v>
      </c>
      <c r="AA263" s="206">
        <f>IF(Aprekini!AA355=0,"-",'Saimnieciskas pamatdarbibas NP'!AA39/Aprekini!AA355)</f>
        <v>1.3946453573994809E-2</v>
      </c>
      <c r="AB263" s="206">
        <f>IF(Aprekini!AB355=0,"-",'Saimnieciskas pamatdarbibas NP'!AB39/Aprekini!AB355)</f>
        <v>1.405109155038259E-2</v>
      </c>
      <c r="AC263" s="206">
        <f>IF(Aprekini!AC355=0,"-",'Saimnieciskas pamatdarbibas NP'!AC39/Aprekini!AC355)</f>
        <v>1.4209756815631355E-2</v>
      </c>
      <c r="AD263" s="206">
        <f>IF(Aprekini!AD355=0,"-",'Saimnieciskas pamatdarbibas NP'!AD39/Aprekini!AD355)</f>
        <v>1.4315568863815751E-2</v>
      </c>
      <c r="AE263" s="206">
        <f>IF(Aprekini!AE355=0,"-",'Saimnieciskas pamatdarbibas NP'!AE39/Aprekini!AE355)</f>
        <v>1.4418522045690196E-2</v>
      </c>
      <c r="AF263" s="206">
        <f>IF(Aprekini!AF355=0,"-",'Saimnieciskas pamatdarbibas NP'!AF39/Aprekini!AF355)</f>
        <v>1.4555947110295999E-2</v>
      </c>
      <c r="AG263" s="206">
        <f>IF(Aprekini!AG355=0,"-",'Saimnieciskas pamatdarbibas NP'!AG39/Aprekini!AG355)</f>
        <v>1.4694982308908729E-2</v>
      </c>
      <c r="AH263" s="206">
        <f>IF(Aprekini!AH355=0,"-",'Saimnieciskas pamatdarbibas NP'!AH39/Aprekini!AH355)</f>
        <v>1.5400276287230893E-2</v>
      </c>
      <c r="AI263" s="206">
        <f>IF(Aprekini!AI355=0,"-",'Saimnieciskas pamatdarbibas NP'!AI39/Aprekini!AI355)</f>
        <v>1.5531947951895086E-2</v>
      </c>
      <c r="AL263" s="113"/>
      <c r="AN263" s="133"/>
      <c r="AO263" s="112"/>
      <c r="AP263" s="133"/>
      <c r="AQ263" s="112"/>
      <c r="AR263" s="133"/>
    </row>
    <row r="264" spans="1:44" s="136" customFormat="1" outlineLevel="1" x14ac:dyDescent="0.2">
      <c r="AL264" s="113"/>
      <c r="AN264" s="133"/>
      <c r="AO264" s="112"/>
      <c r="AP264" s="133"/>
      <c r="AQ264" s="112"/>
      <c r="AR264" s="133"/>
    </row>
    <row r="265" spans="1:44" s="136" customFormat="1" outlineLevel="1" x14ac:dyDescent="0.2">
      <c r="A265" s="204" t="s">
        <v>307</v>
      </c>
      <c r="AL265" s="113"/>
      <c r="AN265" s="133"/>
      <c r="AO265" s="112"/>
      <c r="AP265" s="133"/>
      <c r="AQ265" s="112"/>
      <c r="AR265" s="133"/>
    </row>
    <row r="266" spans="1:44" s="136" customFormat="1" outlineLevel="1" x14ac:dyDescent="0.2">
      <c r="AL266" s="113"/>
      <c r="AN266" s="133"/>
      <c r="AO266" s="112"/>
      <c r="AP266" s="133"/>
      <c r="AQ266" s="112"/>
      <c r="AR266" s="133"/>
    </row>
    <row r="267" spans="1:44" s="136" customFormat="1" ht="25.5" x14ac:dyDescent="0.2">
      <c r="A267" s="205" t="s">
        <v>159</v>
      </c>
      <c r="B267" s="206">
        <f>IF(Aprekini!B355=0,"-",Aprekini!B357/Aprekini!B355)</f>
        <v>1.5518338712507123</v>
      </c>
      <c r="C267" s="206">
        <f>IF(Aprekini!C355=0,"-",Aprekini!C357/Aprekini!C355)</f>
        <v>1.5154671846839871</v>
      </c>
      <c r="D267" s="206">
        <f>IF(Aprekini!D355=0,"-",Aprekini!D357/Aprekini!D355)</f>
        <v>1.5179033564389117</v>
      </c>
      <c r="E267" s="206">
        <f>IF(Aprekini!E355=0,"-",Aprekini!E357/Aprekini!E355)</f>
        <v>1.5258083362714248</v>
      </c>
      <c r="F267" s="206">
        <f>IF(Aprekini!F355=0,"-",Aprekini!F357/Aprekini!F355)</f>
        <v>1.5341032360638354</v>
      </c>
      <c r="G267" s="206">
        <f>IF(Aprekini!G355=0,"-",Aprekini!G357/Aprekini!G355)</f>
        <v>1.5423482950454017</v>
      </c>
      <c r="H267" s="206">
        <f>IF(Aprekini!H355=0,"-",Aprekini!H357/Aprekini!H355)</f>
        <v>1.5505432901635563</v>
      </c>
      <c r="I267" s="206">
        <f>IF(Aprekini!I355=0,"-",Aprekini!I357/Aprekini!I355)</f>
        <v>1.5590603795120443</v>
      </c>
      <c r="J267" s="206">
        <f>IF(Aprekini!J355=0,"-",Aprekini!J357/Aprekini!J355)</f>
        <v>1.5674773119226943</v>
      </c>
      <c r="K267" s="206">
        <f>IF(Aprekini!K355=0,"-",Aprekini!K357/Aprekini!K355)</f>
        <v>1.5758767836070895</v>
      </c>
      <c r="L267" s="206">
        <f>IF(Aprekini!L355=0,"-",Aprekini!L357/Aprekini!L355)</f>
        <v>1.5842971973832973</v>
      </c>
      <c r="M267" s="206">
        <f>IF(Aprekini!M355=0,"-",Aprekini!M357/Aprekini!M355)</f>
        <v>1.5931079371396173</v>
      </c>
      <c r="N267" s="206">
        <f>IF(Aprekini!N355=0,"-",Aprekini!N357/Aprekini!N355)</f>
        <v>1.5997781937280651</v>
      </c>
      <c r="O267" s="206">
        <f>IF(Aprekini!O355=0,"-",Aprekini!O357/Aprekini!O355)</f>
        <v>1.6052081462716916</v>
      </c>
      <c r="P267" s="206">
        <f>IF(Aprekini!P355=0,"-",Aprekini!P357/Aprekini!P355)</f>
        <v>1.6108722792893793</v>
      </c>
      <c r="Q267" s="206">
        <f>IF(Aprekini!Q355=0,"-",Aprekini!Q357/Aprekini!Q355)</f>
        <v>1.6164307526280555</v>
      </c>
      <c r="R267" s="206">
        <f>IF(Aprekini!R355=0,"-",Aprekini!R357/Aprekini!R355)</f>
        <v>1.6222978639827812</v>
      </c>
      <c r="S267" s="206">
        <f>IF(Aprekini!S355=0,"-",Aprekini!S357/Aprekini!S355)</f>
        <v>1.6280540948472735</v>
      </c>
      <c r="T267" s="206">
        <f>IF(Aprekini!T355=0,"-",Aprekini!T357/Aprekini!T355)</f>
        <v>1.6341192316394642</v>
      </c>
      <c r="U267" s="206">
        <f>IF(Aprekini!U355=0,"-",Aprekini!U357/Aprekini!U355)</f>
        <v>1.6400681511147235</v>
      </c>
      <c r="V267" s="206">
        <f>IF(Aprekini!V355=0,"-",Aprekini!V357/Aprekini!V355)</f>
        <v>1.6462847772333971</v>
      </c>
      <c r="W267" s="206">
        <f>IF(Aprekini!W355=0,"-",Aprekini!W357/Aprekini!W355)</f>
        <v>1.6523844492602837</v>
      </c>
      <c r="X267" s="206">
        <f>IF(Aprekini!X355=0,"-",Aprekini!X357/Aprekini!X355)</f>
        <v>1.6587929787708349</v>
      </c>
      <c r="Y267" s="206">
        <f>IF(Aprekini!Y355=0,"-",Aprekini!Y357/Aprekini!Y355)</f>
        <v>1.6650737721114601</v>
      </c>
      <c r="Z267" s="206">
        <f>IF(Aprekini!Z355=0,"-",Aprekini!Z357/Aprekini!Z355)</f>
        <v>1.6716636952016724</v>
      </c>
      <c r="AA267" s="206">
        <f>IF(Aprekini!AA355=0,"-",Aprekini!AA357/Aprekini!AA355)</f>
        <v>1.6781202919172338</v>
      </c>
      <c r="AB267" s="206">
        <f>IF(Aprekini!AB355=0,"-",Aprekini!AB357/Aprekini!AB355)</f>
        <v>1.6845856845368641</v>
      </c>
      <c r="AC267" s="206">
        <f>IF(Aprekini!AC355=0,"-",Aprekini!AC357/Aprekini!AC355)</f>
        <v>1.6914255654361929</v>
      </c>
      <c r="AD267" s="206">
        <f>IF(Aprekini!AD355=0,"-",Aprekini!AD357/Aprekini!AD355)</f>
        <v>1.6982393058756893</v>
      </c>
      <c r="AE267" s="206">
        <f>IF(Aprekini!AE355=0,"-",Aprekini!AE357/Aprekini!AE355)</f>
        <v>1.7050672593437604</v>
      </c>
      <c r="AF267" s="206">
        <f>IF(Aprekini!AF355=0,"-",Aprekini!AF357/Aprekini!AF355)</f>
        <v>1.7120752507381019</v>
      </c>
      <c r="AG267" s="206">
        <f>IF(Aprekini!AG355=0,"-",Aprekini!AG357/Aprekini!AG355)</f>
        <v>1.7193406606190946</v>
      </c>
      <c r="AH267" s="206">
        <f>IF(Aprekini!AH355=0,"-",Aprekini!AH357/Aprekini!AH355)</f>
        <v>1.7263971115094241</v>
      </c>
      <c r="AI267" s="206">
        <f>IF(Aprekini!AI355=0,"-",Aprekini!AI357/Aprekini!AI355)</f>
        <v>1.7337566015450179</v>
      </c>
      <c r="AL267" s="113"/>
      <c r="AN267" s="133"/>
      <c r="AO267" s="112"/>
      <c r="AP267" s="133"/>
      <c r="AQ267" s="112"/>
      <c r="AR267" s="133"/>
    </row>
    <row r="268" spans="1:44" s="136" customFormat="1" x14ac:dyDescent="0.2">
      <c r="AL268" s="113"/>
      <c r="AN268" s="133"/>
      <c r="AO268" s="112"/>
      <c r="AP268" s="133"/>
      <c r="AQ268" s="112"/>
      <c r="AR268" s="133"/>
    </row>
    <row r="269" spans="1:44" s="136" customFormat="1" ht="25.5" outlineLevel="1" x14ac:dyDescent="0.2">
      <c r="A269" s="208" t="s">
        <v>160</v>
      </c>
      <c r="B269" s="206">
        <f>IF(Aprekini!B357=0,"-",(Aprekini!B362+Aprekini!B364)/Aprekini!B357)</f>
        <v>-0.35560112552895728</v>
      </c>
      <c r="C269" s="206">
        <f>IF(Aprekini!C357=0,"-",(Aprekini!C362+Aprekini!C364)/Aprekini!C357)</f>
        <v>2.7275866778892276E-2</v>
      </c>
      <c r="D269" s="206">
        <f>IF(Aprekini!D357=0,"-",(Aprekini!D362+Aprekini!D364)/Aprekini!D357)</f>
        <v>2.9311040904596897E-2</v>
      </c>
      <c r="E269" s="206">
        <f>IF(Aprekini!E357=0,"-",(Aprekini!E362+Aprekini!E364)/Aprekini!E357)</f>
        <v>2.7549551396247044E-2</v>
      </c>
      <c r="F269" s="206">
        <f>IF(Aprekini!F357=0,"-",(Aprekini!F362+Aprekini!F364)/Aprekini!F357)</f>
        <v>2.5702388637835794E-2</v>
      </c>
      <c r="G269" s="206">
        <f>IF(Aprekini!G357=0,"-",(Aprekini!G362+Aprekini!G364)/Aprekini!G357)</f>
        <v>2.3870057125534364E-2</v>
      </c>
      <c r="H269" s="206">
        <f>IF(Aprekini!H357=0,"-",(Aprekini!H362+Aprekini!H364)/Aprekini!H357)</f>
        <v>2.2052507884766349E-2</v>
      </c>
      <c r="I269" s="206">
        <f>IF(Aprekini!I357=0,"-",(Aprekini!I362+Aprekini!I364)/Aprekini!I357)</f>
        <v>2.0259518799271934E-2</v>
      </c>
      <c r="J269" s="206">
        <f>IF(Aprekini!J357=0,"-",(Aprekini!J362+Aprekini!J364)/Aprekini!J357)</f>
        <v>1.8481814499312865E-2</v>
      </c>
      <c r="K269" s="206">
        <f>IF(Aprekini!K357=0,"-",(Aprekini!K362+Aprekini!K364)/Aprekini!K357)</f>
        <v>1.6721123680329287E-2</v>
      </c>
      <c r="L269" s="206">
        <f>IF(Aprekini!L357=0,"-",(Aprekini!L362+Aprekini!L364)/Aprekini!L357)</f>
        <v>1.4978994096520379E-2</v>
      </c>
      <c r="M269" s="206">
        <f>IF(Aprekini!M357=0,"-",(Aprekini!M362+Aprekini!M364)/Aprekini!M357)</f>
        <v>1.3260871035914288E-2</v>
      </c>
      <c r="N269" s="206">
        <f>IF(Aprekini!N357=0,"-",(Aprekini!N362+Aprekini!N364)/Aprekini!N357)</f>
        <v>1.1562835442896234E-2</v>
      </c>
      <c r="O269" s="206">
        <f>IF(Aprekini!O357=0,"-",(Aprekini!O362+Aprekini!O364)/Aprekini!O357)</f>
        <v>1.1362466740341358E-2</v>
      </c>
      <c r="P269" s="206">
        <f>IF(Aprekini!P357=0,"-",(Aprekini!P362+Aprekini!P364)/Aprekini!P357)</f>
        <v>1.1165070222107269E-2</v>
      </c>
      <c r="Q269" s="206">
        <f>IF(Aprekini!Q357=0,"-",(Aprekini!Q362+Aprekini!Q364)/Aprekini!Q357)</f>
        <v>1.0966498833258193E-2</v>
      </c>
      <c r="R269" s="206">
        <f>IF(Aprekini!R357=0,"-",(Aprekini!R362+Aprekini!R364)/Aprekini!R357)</f>
        <v>1.0770908732596542E-2</v>
      </c>
      <c r="S269" s="206">
        <f>IF(Aprekini!S357=0,"-",(Aprekini!S362+Aprekini!S364)/Aprekini!S357)</f>
        <v>1.0574341152810363E-2</v>
      </c>
      <c r="T269" s="206">
        <f>IF(Aprekini!T357=0,"-",(Aprekini!T362+Aprekini!T364)/Aprekini!T357)</f>
        <v>1.0380758752901124E-2</v>
      </c>
      <c r="U269" s="206">
        <f>IF(Aprekini!U357=0,"-",(Aprekini!U362+Aprekini!U364)/Aprekini!U357)</f>
        <v>1.0186387137664864E-2</v>
      </c>
      <c r="V269" s="206">
        <f>IF(Aprekini!V357=0,"-",(Aprekini!V362+Aprekini!V364)/Aprekini!V357)</f>
        <v>9.9946097279011784E-3</v>
      </c>
      <c r="W269" s="206">
        <f>IF(Aprekini!W357=0,"-",(Aprekini!W362+Aprekini!W364)/Aprekini!W357)</f>
        <v>9.8022417405874314E-3</v>
      </c>
      <c r="X269" s="206">
        <f>IF(Aprekini!X357=0,"-",(Aprekini!X362+Aprekini!X364)/Aprekini!X357)</f>
        <v>9.6128703495221325E-3</v>
      </c>
      <c r="Y269" s="206">
        <f>IF(Aprekini!Y357=0,"-",(Aprekini!Y362+Aprekini!Y364)/Aprekini!Y357)</f>
        <v>9.4230775392403973E-3</v>
      </c>
      <c r="Z269" s="206">
        <f>IF(Aprekini!Z357=0,"-",(Aprekini!Z362+Aprekini!Z364)/Aprekini!Z357)</f>
        <v>9.2362692617533274E-3</v>
      </c>
      <c r="AA269" s="206">
        <f>IF(Aprekini!AA357=0,"-",(Aprekini!AA362+Aprekini!AA364)/Aprekini!AA357)</f>
        <v>9.0491992980259745E-3</v>
      </c>
      <c r="AB269" s="206">
        <f>IF(Aprekini!AB357=0,"-",(Aprekini!AB362+Aprekini!AB364)/Aprekini!AB357)</f>
        <v>8.8627871962662572E-3</v>
      </c>
      <c r="AC269" s="206">
        <f>IF(Aprekini!AC357=0,"-",(Aprekini!AC362+Aprekini!AC364)/Aprekini!AC357)</f>
        <v>8.679787813803479E-3</v>
      </c>
      <c r="AD269" s="206">
        <f>IF(Aprekini!AD357=0,"-",(Aprekini!AD362+Aprekini!AD364)/Aprekini!AD357)</f>
        <v>8.4974848988581698E-3</v>
      </c>
      <c r="AE269" s="206">
        <f>IF(Aprekini!AE357=0,"-",(Aprekini!AE362+Aprekini!AE364)/Aprekini!AE357)</f>
        <v>8.3159686177647022E-3</v>
      </c>
      <c r="AF269" s="206">
        <f>IF(Aprekini!AF357=0,"-",(Aprekini!AF362+Aprekini!AF364)/Aprekini!AF357)</f>
        <v>8.136455452177142E-3</v>
      </c>
      <c r="AG269" s="206">
        <f>IF(Aprekini!AG357=0,"-",(Aprekini!AG362+Aprekini!AG364)/Aprekini!AG357)</f>
        <v>7.9592212555613193E-3</v>
      </c>
      <c r="AH269" s="206">
        <f>IF(Aprekini!AH357=0,"-",(Aprekini!AH362+Aprekini!AH364)/Aprekini!AH357)</f>
        <v>7.7813582824724156E-3</v>
      </c>
      <c r="AI269" s="206">
        <f>IF(Aprekini!AI357=0,"-",(Aprekini!AI362+Aprekini!AI364)/Aprekini!AI357)</f>
        <v>7.6058647785493131E-3</v>
      </c>
      <c r="AL269" s="113"/>
      <c r="AN269" s="133"/>
      <c r="AO269" s="112"/>
      <c r="AP269" s="133"/>
      <c r="AQ269" s="112"/>
      <c r="AR269" s="133"/>
    </row>
    <row r="270" spans="1:44" s="136" customFormat="1" outlineLevel="1" x14ac:dyDescent="0.2">
      <c r="AL270" s="113"/>
      <c r="AN270" s="133"/>
      <c r="AO270" s="112"/>
      <c r="AP270" s="133"/>
      <c r="AQ270" s="112"/>
      <c r="AR270" s="133"/>
    </row>
    <row r="271" spans="1:44" s="136" customFormat="1" ht="25.5" outlineLevel="1" x14ac:dyDescent="0.2">
      <c r="A271" s="208" t="s">
        <v>161</v>
      </c>
      <c r="B271" s="206">
        <f>IF(Aprekini!B357=0,"-",Aprekini!B348/Aprekini!B357)</f>
        <v>0.61862100052030844</v>
      </c>
      <c r="C271" s="206">
        <f>IF(Aprekini!C357=0,"-",Aprekini!C348/Aprekini!C357)</f>
        <v>0.63841678180666084</v>
      </c>
      <c r="D271" s="206">
        <f>IF(Aprekini!D357=0,"-",Aprekini!D348/Aprekini!D357)</f>
        <v>0.6355510442261465</v>
      </c>
      <c r="E271" s="206">
        <f>IF(Aprekini!E357=0,"-",Aprekini!E348/Aprekini!E357)</f>
        <v>0.62742864194219117</v>
      </c>
      <c r="F271" s="206">
        <f>IF(Aprekini!F357=0,"-",Aprekini!F348/Aprekini!F357)</f>
        <v>0.61948474136700271</v>
      </c>
      <c r="G271" s="206">
        <f>IF(Aprekini!G357=0,"-",Aprekini!G348/Aprekini!G357)</f>
        <v>0.61149954648308014</v>
      </c>
      <c r="H271" s="206">
        <f>IF(Aprekini!H357=0,"-",Aprekini!H348/Aprekini!H357)</f>
        <v>0.60345316440522245</v>
      </c>
      <c r="I271" s="206">
        <f>IF(Aprekini!I357=0,"-",Aprekini!I348/Aprekini!I357)</f>
        <v>0.59560808371060314</v>
      </c>
      <c r="J271" s="206">
        <f>IF(Aprekini!J357=0,"-",Aprekini!J348/Aprekini!J357)</f>
        <v>0.58770581605617589</v>
      </c>
      <c r="K271" s="206">
        <f>IF(Aprekini!K357=0,"-",Aprekini!K348/Aprekini!K357)</f>
        <v>0.5797771838475656</v>
      </c>
      <c r="L271" s="206">
        <f>IF(Aprekini!L357=0,"-",Aprekini!L348/Aprekini!L357)</f>
        <v>0.57185757104440138</v>
      </c>
      <c r="M271" s="206">
        <f>IF(Aprekini!M357=0,"-",Aprekini!M348/Aprekini!M357)</f>
        <v>0.56416354117821566</v>
      </c>
      <c r="N271" s="206">
        <f>IF(Aprekini!N357=0,"-",Aprekini!N348/Aprekini!N357)</f>
        <v>0.55844794332429559</v>
      </c>
      <c r="O271" s="206">
        <f>IF(Aprekini!O357=0,"-",Aprekini!O348/Aprekini!O357)</f>
        <v>0.55293672210680234</v>
      </c>
      <c r="P271" s="206">
        <f>IF(Aprekini!P357=0,"-",Aprekini!P348/Aprekini!P357)</f>
        <v>0.54752460587113727</v>
      </c>
      <c r="Q271" s="206">
        <f>IF(Aprekini!Q357=0,"-",Aprekini!Q348/Aprekini!Q357)</f>
        <v>0.54200832710034419</v>
      </c>
      <c r="R271" s="206">
        <f>IF(Aprekini!R357=0,"-",Aprekini!R348/Aprekini!R357)</f>
        <v>0.53659181224655128</v>
      </c>
      <c r="S271" s="206">
        <f>IF(Aprekini!S357=0,"-",Aprekini!S348/Aprekini!S357)</f>
        <v>0.53107799767346298</v>
      </c>
      <c r="T271" s="206">
        <f>IF(Aprekini!T357=0,"-",Aprekini!T348/Aprekini!T357)</f>
        <v>0.52566446553895796</v>
      </c>
      <c r="U271" s="206">
        <f>IF(Aprekini!U357=0,"-",Aprekini!U348/Aprekini!U357)</f>
        <v>0.5201603012199647</v>
      </c>
      <c r="V271" s="206">
        <f>IF(Aprekini!V357=0,"-",Aprekini!V348/Aprekini!V357)</f>
        <v>0.51473672396710546</v>
      </c>
      <c r="W271" s="206">
        <f>IF(Aprekini!W357=0,"-",Aprekini!W348/Aprekini!W357)</f>
        <v>0.50922964535692239</v>
      </c>
      <c r="X271" s="206">
        <f>IF(Aprekini!X357=0,"-",Aprekini!X348/Aprekini!X357)</f>
        <v>0.50382410494471674</v>
      </c>
      <c r="Y271" s="206">
        <f>IF(Aprekini!Y357=0,"-",Aprekini!Y348/Aprekini!Y357)</f>
        <v>0.49834130612172312</v>
      </c>
      <c r="Z271" s="206">
        <f>IF(Aprekini!Z357=0,"-",Aprekini!Z348/Aprekini!Z357)</f>
        <v>0.49296011380334614</v>
      </c>
      <c r="AA271" s="206">
        <f>IF(Aprekini!AA357=0,"-",Aprekini!AA348/Aprekini!AA357)</f>
        <v>0.48750767798187788</v>
      </c>
      <c r="AB271" s="206">
        <f>IF(Aprekini!AB357=0,"-",Aprekini!AB348/Aprekini!AB357)</f>
        <v>0.48203114439442452</v>
      </c>
      <c r="AC271" s="206">
        <f>IF(Aprekini!AC357=0,"-",Aprekini!AC348/Aprekini!AC357)</f>
        <v>0.47668023415657129</v>
      </c>
      <c r="AD271" s="206">
        <f>IF(Aprekini!AD357=0,"-",Aprekini!AD348/Aprekini!AD357)</f>
        <v>0.47130713954298287</v>
      </c>
      <c r="AE271" s="206">
        <f>IF(Aprekini!AE357=0,"-",Aprekini!AE348/Aprekini!AE357)</f>
        <v>0.46591534866017309</v>
      </c>
      <c r="AF271" s="206">
        <f>IF(Aprekini!AF357=0,"-",Aprekini!AF348/Aprekini!AF357)</f>
        <v>0.4605722194880027</v>
      </c>
      <c r="AG271" s="206">
        <f>IF(Aprekini!AG357=0,"-",Aprekini!AG348/Aprekini!AG357)</f>
        <v>0.45529411658712537</v>
      </c>
      <c r="AH271" s="206">
        <f>IF(Aprekini!AH357=0,"-",Aprekini!AH348/Aprekini!AH357)</f>
        <v>0.44991404711091876</v>
      </c>
      <c r="AI271" s="206">
        <f>IF(Aprekini!AI357=0,"-",Aprekini!AI348/Aprekini!AI357)</f>
        <v>0.44460293182370403</v>
      </c>
      <c r="AL271" s="113"/>
      <c r="AN271" s="133"/>
      <c r="AO271" s="112"/>
      <c r="AP271" s="133"/>
      <c r="AQ271" s="112"/>
      <c r="AR271" s="133"/>
    </row>
    <row r="272" spans="1:44" s="136" customFormat="1" outlineLevel="1" x14ac:dyDescent="0.2">
      <c r="AL272" s="113"/>
      <c r="AN272" s="133"/>
      <c r="AO272" s="112"/>
      <c r="AP272" s="133"/>
      <c r="AQ272" s="112"/>
      <c r="AR272" s="133"/>
    </row>
    <row r="273" spans="1:252" s="136" customFormat="1" outlineLevel="1" x14ac:dyDescent="0.2">
      <c r="A273" s="204" t="s">
        <v>308</v>
      </c>
      <c r="AL273" s="113"/>
      <c r="AN273" s="133"/>
      <c r="AO273" s="112"/>
      <c r="AP273" s="133"/>
      <c r="AQ273" s="112"/>
      <c r="AR273" s="133"/>
    </row>
    <row r="274" spans="1:252" s="136" customFormat="1" outlineLevel="1" x14ac:dyDescent="0.2">
      <c r="AL274" s="113"/>
      <c r="AN274" s="133"/>
      <c r="AO274" s="112"/>
      <c r="AP274" s="133"/>
      <c r="AQ274" s="112"/>
      <c r="AR274" s="133"/>
    </row>
    <row r="275" spans="1:252" s="136" customFormat="1" ht="38.25" outlineLevel="1" x14ac:dyDescent="0.2">
      <c r="A275" s="208" t="s">
        <v>162</v>
      </c>
      <c r="B275" s="206">
        <f>IF(Aprekini!B357=0,"-",Aprekini!B341/Aprekini!B357*100)</f>
        <v>2.3151297477411634</v>
      </c>
      <c r="C275" s="206">
        <f>IF(Aprekini!C357=0,"-",Aprekini!C341/Aprekini!C357*100)</f>
        <v>1.3511786124211096</v>
      </c>
      <c r="D275" s="206">
        <f>IF(Aprekini!D357=0,"-",Aprekini!D341/Aprekini!D357*100)</f>
        <v>0.4750158261328476</v>
      </c>
      <c r="E275" s="206">
        <f>IF(Aprekini!E357=0,"-",Aprekini!E341/Aprekini!E357*100)</f>
        <v>0.55508935683014671</v>
      </c>
      <c r="F275" s="206">
        <f>IF(Aprekini!F357=0,"-",Aprekini!F341/Aprekini!F357*100)</f>
        <v>0.53776349266288437</v>
      </c>
      <c r="G275" s="206">
        <f>IF(Aprekini!G357=0,"-",Aprekini!G341/Aprekini!G357*100)</f>
        <v>0.55542260563622337</v>
      </c>
      <c r="H275" s="206">
        <f>IF(Aprekini!H357=0,"-",Aprekini!H341/Aprekini!H357*100)</f>
        <v>0.57696943791814637</v>
      </c>
      <c r="I275" s="206">
        <f>IF(Aprekini!I357=0,"-",Aprekini!I341/Aprekini!I357*100)</f>
        <v>0.5554633479088309</v>
      </c>
      <c r="J275" s="206">
        <f>IF(Aprekini!J357=0,"-",Aprekini!J341/Aprekini!J357*100)</f>
        <v>0.57673182317161065</v>
      </c>
      <c r="K275" s="206">
        <f>IF(Aprekini!K357=0,"-",Aprekini!K341/Aprekini!K357*100)</f>
        <v>0.59348367141502634</v>
      </c>
      <c r="L275" s="206">
        <f>IF(Aprekini!L357=0,"-",Aprekini!L341/Aprekini!L357*100)</f>
        <v>0.60467547446168513</v>
      </c>
      <c r="M275" s="206">
        <f>IF(Aprekini!M357=0,"-",Aprekini!M341/Aprekini!M357*100)</f>
        <v>0.57806392678119656</v>
      </c>
      <c r="N275" s="206">
        <f>IF(Aprekini!N357=0,"-",Aprekini!N341/Aprekini!N357*100)</f>
        <v>0.57183568431164977</v>
      </c>
      <c r="O275" s="206">
        <f>IF(Aprekini!O357=0,"-",Aprekini!O341/Aprekini!O357*100)</f>
        <v>0.54351397974462046</v>
      </c>
      <c r="P275" s="206">
        <f>IF(Aprekini!P357=0,"-",Aprekini!P341/Aprekini!P357*100)</f>
        <v>0.53339637644314697</v>
      </c>
      <c r="Q275" s="206">
        <f>IF(Aprekini!Q357=0,"-",Aprekini!Q341/Aprekini!Q357*100)</f>
        <v>0.56021294905921448</v>
      </c>
      <c r="R275" s="206">
        <f>IF(Aprekini!R357=0,"-",Aprekini!R341/Aprekini!R357*100)</f>
        <v>0.54999321446021621</v>
      </c>
      <c r="S275" s="206">
        <f>IF(Aprekini!S357=0,"-",Aprekini!S341/Aprekini!S357*100)</f>
        <v>0.57629362476776824</v>
      </c>
      <c r="T275" s="206">
        <f>IF(Aprekini!T357=0,"-",Aprekini!T341/Aprekini!T357*100)</f>
        <v>0.56597465665243762</v>
      </c>
      <c r="U275" s="206">
        <f>IF(Aprekini!U357=0,"-",Aprekini!U341/Aprekini!U357*100)</f>
        <v>0.59175526213618412</v>
      </c>
      <c r="V275" s="206">
        <f>IF(Aprekini!V357=0,"-",Aprekini!V341/Aprekini!V357*100)</f>
        <v>0.58521716017543368</v>
      </c>
      <c r="W275" s="206">
        <f>IF(Aprekini!W357=0,"-",Aprekini!W341/Aprekini!W357*100)</f>
        <v>0.61042737657888102</v>
      </c>
      <c r="X275" s="206">
        <f>IF(Aprekini!X357=0,"-",Aprekini!X341/Aprekini!X357*100)</f>
        <v>0.59987525637733052</v>
      </c>
      <c r="Y275" s="206">
        <f>IF(Aprekini!Y357=0,"-",Aprekini!Y341/Aprekini!Y357*100)</f>
        <v>0.62455987320192241</v>
      </c>
      <c r="Z275" s="206">
        <f>IF(Aprekini!Z357=0,"-",Aprekini!Z341/Aprekini!Z357*100)</f>
        <v>0.6139203267974308</v>
      </c>
      <c r="AA275" s="206">
        <f>IF(Aprekini!AA357=0,"-",Aprekini!AA341/Aprekini!AA357*100)</f>
        <v>0.63807937998018227</v>
      </c>
      <c r="AB275" s="206">
        <f>IF(Aprekini!AB357=0,"-",Aprekini!AB341/Aprekini!AB357*100)</f>
        <v>0.65325018689912118</v>
      </c>
      <c r="AC275" s="206">
        <f>IF(Aprekini!AC357=0,"-",Aprekini!AC341/Aprekini!AC357*100)</f>
        <v>0.63764251770094271</v>
      </c>
      <c r="AD275" s="206">
        <f>IF(Aprekini!AD357=0,"-",Aprekini!AD341/Aprekini!AD357*100)</f>
        <v>0.65257179351985206</v>
      </c>
      <c r="AE275" s="206">
        <f>IF(Aprekini!AE357=0,"-",Aprekini!AE341/Aprekini!AE357*100)</f>
        <v>0.66718094272481465</v>
      </c>
      <c r="AF275" s="206">
        <f>IF(Aprekini!AF357=0,"-",Aprekini!AF341/Aprekini!AF357*100)</f>
        <v>0.66767806084746506</v>
      </c>
      <c r="AG275" s="206">
        <f>IF(Aprekini!AG357=0,"-",Aprekini!AG341/Aprekini!AG357*100)</f>
        <v>0.66452609982172783</v>
      </c>
      <c r="AH275" s="206">
        <f>IF(Aprekini!AH357=0,"-",Aprekini!AH341/Aprekini!AH357*100)</f>
        <v>0.69802521891860736</v>
      </c>
      <c r="AI275" s="206">
        <f>IF(Aprekini!AI357=0,"-",Aprekini!AI341/Aprekini!AI357*100)</f>
        <v>0.69444492214619669</v>
      </c>
      <c r="AL275" s="113"/>
      <c r="AN275" s="133"/>
      <c r="AO275" s="112"/>
      <c r="AP275" s="133"/>
      <c r="AQ275" s="112"/>
      <c r="AR275" s="133"/>
    </row>
    <row r="276" spans="1:252" s="136" customFormat="1" outlineLevel="1" x14ac:dyDescent="0.2">
      <c r="AL276" s="113"/>
      <c r="AN276" s="133"/>
      <c r="AO276" s="112"/>
      <c r="AP276" s="133"/>
      <c r="AQ276" s="112"/>
      <c r="AR276" s="133"/>
    </row>
    <row r="277" spans="1:252" s="136" customFormat="1" ht="38.25" outlineLevel="1" x14ac:dyDescent="0.2">
      <c r="A277" s="208" t="s">
        <v>163</v>
      </c>
      <c r="B277" s="206">
        <f>IF(Aprekini!B355=0,"-",Aprekini!B341/Aprekini!B355*100)</f>
        <v>3.5926967588848542</v>
      </c>
      <c r="C277" s="206">
        <f>IF(Aprekini!C355=0,"-",Aprekini!C341/Aprekini!C355*100)</f>
        <v>2.0476668477710351</v>
      </c>
      <c r="D277" s="206">
        <f>IF(Aprekini!D355=0,"-",Aprekini!D341/Aprekini!D355*100)</f>
        <v>0.72102811684865198</v>
      </c>
      <c r="E277" s="206">
        <f>IF(Aprekini!E355=0,"-",Aprekini!E341/Aprekini!E355*100)</f>
        <v>0.84695996802698126</v>
      </c>
      <c r="F277" s="206">
        <f>IF(Aprekini!F355=0,"-",Aprekini!F341/Aprekini!F355*100)</f>
        <v>0.82498471433112153</v>
      </c>
      <c r="G277" s="206">
        <f>IF(Aprekini!G355=0,"-",Aprekini!G341/Aprekini!G355*100)</f>
        <v>0.85665510883270357</v>
      </c>
      <c r="H277" s="206">
        <f>IF(Aprekini!H355=0,"-",Aprekini!H341/Aprekini!H355*100)</f>
        <v>0.8946160905934204</v>
      </c>
      <c r="I277" s="206">
        <f>IF(Aprekini!I355=0,"-",Aprekini!I341/Aprekini!I355*100)</f>
        <v>0.86600089799577262</v>
      </c>
      <c r="J277" s="206">
        <f>IF(Aprekini!J355=0,"-",Aprekini!J341/Aprekini!J355*100)</f>
        <v>0.90401404788531103</v>
      </c>
      <c r="K277" s="206">
        <f>IF(Aprekini!K355=0,"-",Aprekini!K341/Aprekini!K355*100)</f>
        <v>0.93525713923283837</v>
      </c>
      <c r="L277" s="206">
        <f>IF(Aprekini!L355=0,"-",Aprekini!L341/Aprekini!L355*100)</f>
        <v>0.9579856595160634</v>
      </c>
      <c r="M277" s="206">
        <f>IF(Aprekini!M355=0,"-",Aprekini!M341/Aprekini!M355*100)</f>
        <v>0.92091822992921901</v>
      </c>
      <c r="N277" s="206">
        <f>IF(Aprekini!N355=0,"-",Aprekini!N341/Aprekini!N355*100)</f>
        <v>0.91481025815734296</v>
      </c>
      <c r="O277" s="206">
        <f>IF(Aprekini!O355=0,"-",Aprekini!O341/Aprekini!O355*100)</f>
        <v>0.87245306789861199</v>
      </c>
      <c r="P277" s="206">
        <f>IF(Aprekini!P355=0,"-",Aprekini!P341/Aprekini!P355*100)</f>
        <v>0.85923343668566787</v>
      </c>
      <c r="Q277" s="206">
        <f>IF(Aprekini!Q355=0,"-",Aprekini!Q341/Aprekini!Q355*100)</f>
        <v>0.90554543887976857</v>
      </c>
      <c r="R277" s="206">
        <f>IF(Aprekini!R355=0,"-",Aprekini!R341/Aprekini!R355*100)</f>
        <v>0.89225281702383263</v>
      </c>
      <c r="S277" s="206">
        <f>IF(Aprekini!S355=0,"-",Aprekini!S341/Aprekini!S355*100)</f>
        <v>0.93823719563754304</v>
      </c>
      <c r="T277" s="206">
        <f>IF(Aprekini!T355=0,"-",Aprekini!T341/Aprekini!T355*100)</f>
        <v>0.92487007105629093</v>
      </c>
      <c r="U277" s="206">
        <f>IF(Aprekini!U355=0,"-",Aprekini!U341/Aprekini!U355*100)</f>
        <v>0.9705189586841001</v>
      </c>
      <c r="V277" s="206">
        <f>IF(Aprekini!V355=0,"-",Aprekini!V341/Aprekini!V355*100)</f>
        <v>0.96343410217257508</v>
      </c>
      <c r="W277" s="206">
        <f>IF(Aprekini!W355=0,"-",Aprekini!W341/Aprekini!W355*100)</f>
        <v>1.0086607044616942</v>
      </c>
      <c r="X277" s="206">
        <f>IF(Aprekini!X355=0,"-",Aprekini!X341/Aprekini!X355*100)</f>
        <v>0.99506886341707046</v>
      </c>
      <c r="Y277" s="206">
        <f>IF(Aprekini!Y355=0,"-",Aprekini!Y341/Aprekini!Y355*100)</f>
        <v>1.0399382639817802</v>
      </c>
      <c r="Z277" s="206">
        <f>IF(Aprekini!Z355=0,"-",Aprekini!Z341/Aprekini!Z355*100)</f>
        <v>1.0262683220536113</v>
      </c>
      <c r="AA277" s="206">
        <f>IF(Aprekini!AA355=0,"-",Aprekini!AA341/Aprekini!AA355*100)</f>
        <v>1.070773955398711</v>
      </c>
      <c r="AB277" s="206">
        <f>IF(Aprekini!AB355=0,"-",Aprekini!AB341/Aprekini!AB355*100)</f>
        <v>1.1004559132712906</v>
      </c>
      <c r="AC277" s="206">
        <f>IF(Aprekini!AC355=0,"-",Aprekini!AC341/Aprekini!AC355*100)</f>
        <v>1.0785248560484746</v>
      </c>
      <c r="AD277" s="206">
        <f>IF(Aprekini!AD355=0,"-",Aprekini!AD341/Aprekini!AD355*100)</f>
        <v>1.108223069661207</v>
      </c>
      <c r="AE277" s="206">
        <f>IF(Aprekini!AE355=0,"-",Aprekini!AE341/Aprekini!AE355*100)</f>
        <v>1.137588381498186</v>
      </c>
      <c r="AF277" s="206">
        <f>IF(Aprekini!AF355=0,"-",Aprekini!AF341/Aprekini!AF355*100)</f>
        <v>1.1431150834377533</v>
      </c>
      <c r="AG277" s="206">
        <f>IF(Aprekini!AG355=0,"-",Aprekini!AG341/Aprekini!AG355*100)</f>
        <v>1.1425467434661198</v>
      </c>
      <c r="AH277" s="206">
        <f>IF(Aprekini!AH355=0,"-",Aprekini!AH341/Aprekini!AH355*100)</f>
        <v>1.205068721701817</v>
      </c>
      <c r="AI277" s="206">
        <f>IF(Aprekini!AI355=0,"-",Aprekini!AI341/Aprekini!AI355*100)</f>
        <v>1.2039984681803844</v>
      </c>
      <c r="AL277" s="113"/>
      <c r="AN277" s="133"/>
      <c r="AO277" s="112"/>
      <c r="AP277" s="133"/>
      <c r="AQ277" s="112"/>
      <c r="AR277" s="133"/>
    </row>
    <row r="278" spans="1:252" s="136" customFormat="1" outlineLevel="1" x14ac:dyDescent="0.2">
      <c r="AL278" s="113"/>
      <c r="AN278" s="133"/>
      <c r="AO278" s="112"/>
      <c r="AP278" s="133"/>
      <c r="AQ278" s="112"/>
      <c r="AR278" s="133"/>
    </row>
    <row r="279" spans="1:252" s="136" customFormat="1" ht="38.25" outlineLevel="1" x14ac:dyDescent="0.2">
      <c r="A279" s="208" t="s">
        <v>164</v>
      </c>
      <c r="B279" s="206">
        <f>IF(Aprekini!B348=0,"-",Aprekini!B341/Aprekini!B348*100)</f>
        <v>3.7424040661308924</v>
      </c>
      <c r="C279" s="206">
        <f>IF(Aprekini!C348=0,"-",Aprekini!C341/Aprekini!C348*100)</f>
        <v>2.1164522157412566</v>
      </c>
      <c r="D279" s="206">
        <f>IF(Aprekini!D348=0,"-",Aprekini!D341/Aprekini!D348*100)</f>
        <v>0.74740782891991286</v>
      </c>
      <c r="E279" s="206">
        <f>IF(Aprekini!E348=0,"-",Aprekini!E341/Aprekini!E348*100)</f>
        <v>0.88470515963676788</v>
      </c>
      <c r="F279" s="206">
        <f>IF(Aprekini!F348=0,"-",Aprekini!F341/Aprekini!F348*100)</f>
        <v>0.86808190218892878</v>
      </c>
      <c r="G279" s="206">
        <f>IF(Aprekini!G348=0,"-",Aprekini!G341/Aprekini!G348*100)</f>
        <v>0.90829602218125538</v>
      </c>
      <c r="H279" s="206">
        <f>IF(Aprekini!H348=0,"-",Aprekini!H341/Aprekini!H348*100)</f>
        <v>0.95611303735033182</v>
      </c>
      <c r="I279" s="206">
        <f>IF(Aprekini!I348=0,"-",Aprekini!I341/Aprekini!I348*100)</f>
        <v>0.93259873917144831</v>
      </c>
      <c r="J279" s="206">
        <f>IF(Aprekini!J348=0,"-",Aprekini!J341/Aprekini!J348*100)</f>
        <v>0.98132740465594392</v>
      </c>
      <c r="K279" s="206">
        <f>IF(Aprekini!K348=0,"-",Aprekini!K341/Aprekini!K348*100)</f>
        <v>1.0236409571630614</v>
      </c>
      <c r="L279" s="206">
        <f>IF(Aprekini!L348=0,"-",Aprekini!L341/Aprekini!L348*100)</f>
        <v>1.0573882467925491</v>
      </c>
      <c r="M279" s="206">
        <f>IF(Aprekini!M348=0,"-",Aprekini!M341/Aprekini!M348*100)</f>
        <v>1.0246389292969038</v>
      </c>
      <c r="N279" s="206">
        <f>IF(Aprekini!N348=0,"-",Aprekini!N341/Aprekini!N348*100)</f>
        <v>1.0239731225576021</v>
      </c>
      <c r="O279" s="206">
        <f>IF(Aprekini!O348=0,"-",Aprekini!O341/Aprekini!O348*100)</f>
        <v>0.9829587329156233</v>
      </c>
      <c r="P279" s="206">
        <f>IF(Aprekini!P348=0,"-",Aprekini!P341/Aprekini!P348*100)</f>
        <v>0.97419617442487061</v>
      </c>
      <c r="Q279" s="206">
        <f>IF(Aprekini!Q348=0,"-",Aprekini!Q341/Aprekini!Q348*100)</f>
        <v>1.0335873473683734</v>
      </c>
      <c r="R279" s="206">
        <f>IF(Aprekini!R348=0,"-",Aprekini!R341/Aprekini!R348*100)</f>
        <v>1.024975040445655</v>
      </c>
      <c r="S279" s="206">
        <f>IF(Aprekini!S348=0,"-",Aprekini!S341/Aprekini!S348*100)</f>
        <v>1.0851393341324345</v>
      </c>
      <c r="T279" s="206">
        <f>IF(Aprekini!T348=0,"-",Aprekini!T341/Aprekini!T348*100)</f>
        <v>1.0766842610754563</v>
      </c>
      <c r="U279" s="206">
        <f>IF(Aprekini!U348=0,"-",Aprekini!U341/Aprekini!U348*100)</f>
        <v>1.1376401865892176</v>
      </c>
      <c r="V279" s="206">
        <f>IF(Aprekini!V348=0,"-",Aprekini!V341/Aprekini!V348*100)</f>
        <v>1.1369252142437622</v>
      </c>
      <c r="W279" s="206">
        <f>IF(Aprekini!W348=0,"-",Aprekini!W341/Aprekini!W348*100)</f>
        <v>1.1987271011117755</v>
      </c>
      <c r="X279" s="206">
        <f>IF(Aprekini!X348=0,"-",Aprekini!X341/Aprekini!X348*100)</f>
        <v>1.1906442158879105</v>
      </c>
      <c r="Y279" s="206">
        <f>IF(Aprekini!Y348=0,"-",Aprekini!Y341/Aprekini!Y348*100)</f>
        <v>1.2532773533514188</v>
      </c>
      <c r="Z279" s="206">
        <f>IF(Aprekini!Z348=0,"-",Aprekini!Z341/Aprekini!Z348*100)</f>
        <v>1.2453752537113756</v>
      </c>
      <c r="AA279" s="206">
        <f>IF(Aprekini!AA348=0,"-",Aprekini!AA341/Aprekini!AA348*100)</f>
        <v>1.3088601652831846</v>
      </c>
      <c r="AB279" s="206">
        <f>IF(Aprekini!AB348=0,"-",Aprekini!AB341/Aprekini!AB348*100)</f>
        <v>1.355203277829276</v>
      </c>
      <c r="AC279" s="206">
        <f>IF(Aprekini!AC348=0,"-",Aprekini!AC341/Aprekini!AC348*100)</f>
        <v>1.3376735010403251</v>
      </c>
      <c r="AD279" s="206">
        <f>IF(Aprekini!AD348=0,"-",Aprekini!AD341/Aprekini!AD348*100)</f>
        <v>1.3845998474638808</v>
      </c>
      <c r="AE279" s="206">
        <f>IF(Aprekini!AE348=0,"-",Aprekini!AE341/Aprekini!AE348*100)</f>
        <v>1.431978887674378</v>
      </c>
      <c r="AF279" s="206">
        <f>IF(Aprekini!AF348=0,"-",Aprekini!AF341/Aprekini!AF348*100)</f>
        <v>1.4496707195881082</v>
      </c>
      <c r="AG279" s="206">
        <f>IF(Aprekini!AG348=0,"-",Aprekini!AG341/Aprekini!AG348*100)</f>
        <v>1.4595534526187179</v>
      </c>
      <c r="AH279" s="206">
        <f>IF(Aprekini!AH348=0,"-",Aprekini!AH341/Aprekini!AH348*100)</f>
        <v>1.5514634926402306</v>
      </c>
      <c r="AI279" s="206">
        <f>IF(Aprekini!AI348=0,"-",Aprekini!AI341/Aprekini!AI348*100)</f>
        <v>1.5619440908715401</v>
      </c>
      <c r="AL279" s="113"/>
      <c r="AN279" s="133"/>
      <c r="AO279" s="112"/>
      <c r="AP279" s="133"/>
      <c r="AQ279" s="112"/>
      <c r="AR279" s="133"/>
    </row>
    <row r="280" spans="1:252" s="136" customFormat="1" outlineLevel="1" x14ac:dyDescent="0.2">
      <c r="AL280" s="113"/>
      <c r="AN280" s="133"/>
      <c r="AO280" s="112"/>
      <c r="AP280" s="133"/>
      <c r="AQ280" s="112"/>
      <c r="AR280" s="133"/>
    </row>
    <row r="281" spans="1:252" s="136" customFormat="1" x14ac:dyDescent="0.2">
      <c r="A281" s="205" t="s">
        <v>165</v>
      </c>
      <c r="B281" s="206">
        <f>Aprekini!B341+'Naudas plusma'!B10*0.5</f>
        <v>193559.39599999995</v>
      </c>
      <c r="C281" s="206">
        <f>Aprekini!C341+'Naudas plusma'!C10*0.5</f>
        <v>118757.55070000002</v>
      </c>
      <c r="D281" s="206">
        <f>Aprekini!D341+'Naudas plusma'!D10*0.5</f>
        <v>55806.738535894896</v>
      </c>
      <c r="E281" s="206">
        <f>Aprekini!E341+'Naudas plusma'!E10*0.5</f>
        <v>63597.123547394993</v>
      </c>
      <c r="F281" s="206">
        <f>Aprekini!F341+'Naudas plusma'!F10*0.5</f>
        <v>62428.741547394893</v>
      </c>
      <c r="G281" s="206">
        <f>Aprekini!G341+'Naudas plusma'!G10*0.5</f>
        <v>64120.217547394917</v>
      </c>
      <c r="H281" s="206">
        <f>Aprekini!H341+'Naudas plusma'!H10*0.5</f>
        <v>66159.813547394937</v>
      </c>
      <c r="I281" s="206">
        <f>Aprekini!I341+'Naudas plusma'!I10*0.5</f>
        <v>64643.311547394958</v>
      </c>
      <c r="J281" s="206">
        <f>Aprekini!J341+'Naudas plusma'!J10*0.5</f>
        <v>66682.907547394978</v>
      </c>
      <c r="K281" s="206">
        <f>Aprekini!K341+'Naudas plusma'!K10*0.5</f>
        <v>68374.383547395002</v>
      </c>
      <c r="L281" s="206">
        <f>Aprekini!L341+'Naudas plusma'!L10*0.5</f>
        <v>69621.139547395054</v>
      </c>
      <c r="M281" s="206">
        <f>Aprekini!M341+'Naudas plusma'!M10*0.5</f>
        <v>67659.917547394987</v>
      </c>
      <c r="N281" s="206">
        <f>Aprekini!N341+'Naudas plusma'!N10*0.5</f>
        <v>59416.276210980024</v>
      </c>
      <c r="O281" s="206">
        <f>Aprekini!O341+'Naudas plusma'!O10*0.5</f>
        <v>57253.03221097996</v>
      </c>
      <c r="P281" s="206">
        <f>Aprekini!P341+'Naudas plusma'!P10*0.5</f>
        <v>56630.388210979872</v>
      </c>
      <c r="Q281" s="206">
        <f>Aprekini!Q341+'Naudas plusma'!Q10*0.5</f>
        <v>59215.722210979904</v>
      </c>
      <c r="R281" s="206">
        <f>Aprekini!R341+'Naudas plusma'!R10*0.5</f>
        <v>58593.078210980049</v>
      </c>
      <c r="S281" s="206">
        <f>Aprekini!S341+'Naudas plusma'!S10*0.5</f>
        <v>61178.412210980081</v>
      </c>
      <c r="T281" s="206">
        <f>Aprekini!T341+'Naudas plusma'!T10*0.5</f>
        <v>60555.768210979993</v>
      </c>
      <c r="U281" s="206">
        <f>Aprekini!U341+'Naudas plusma'!U10*0.5</f>
        <v>63141.102210979909</v>
      </c>
      <c r="V281" s="206">
        <f>Aprekini!V341+'Naudas plusma'!V10*0.5</f>
        <v>62866.578210979933</v>
      </c>
      <c r="W281" s="206">
        <f>Aprekini!W341+'Naudas plusma'!W10*0.5</f>
        <v>65451.912210979965</v>
      </c>
      <c r="X281" s="206">
        <f>Aprekini!X341+'Naudas plusma'!X10*0.5</f>
        <v>64829.268210979877</v>
      </c>
      <c r="Y281" s="206">
        <f>Aprekini!Y341+'Naudas plusma'!Y10*0.5</f>
        <v>67414.602210979909</v>
      </c>
      <c r="Z281" s="206">
        <f>Aprekini!Z341+'Naudas plusma'!Z10*0.5</f>
        <v>66791.958210979938</v>
      </c>
      <c r="AA281" s="206">
        <f>Aprekini!AA341+'Naudas plusma'!AA10*0.5</f>
        <v>69377.292210979969</v>
      </c>
      <c r="AB281" s="206">
        <f>Aprekini!AB341+'Naudas plusma'!AB10*0.5</f>
        <v>71169.786210980034</v>
      </c>
      <c r="AC281" s="206">
        <f>Aprekini!AC341+'Naudas plusma'!AC10*0.5</f>
        <v>70102.422210979974</v>
      </c>
      <c r="AD281" s="206">
        <f>Aprekini!AD341+'Naudas plusma'!AD10*0.5</f>
        <v>71894.916210979922</v>
      </c>
      <c r="AE281" s="206">
        <f>Aprekini!AE341+'Naudas plusma'!AE10*0.5</f>
        <v>73687.41021097987</v>
      </c>
      <c r="AF281" s="206">
        <f>Aprekini!AF341+'Naudas plusma'!AF10*0.5</f>
        <v>74158.624210980139</v>
      </c>
      <c r="AG281" s="206">
        <f>Aprekini!AG341+'Naudas plusma'!AG10*0.5</f>
        <v>74281.718210980063</v>
      </c>
      <c r="AH281" s="206">
        <f>Aprekini!AH341+'Naudas plusma'!AH10*0.5</f>
        <v>77960.910210979986</v>
      </c>
      <c r="AI281" s="206">
        <f>Aprekini!AI341+'Naudas plusma'!AI10*0.5</f>
        <v>78084.004210979911</v>
      </c>
      <c r="AL281" s="113"/>
      <c r="AN281" s="133"/>
      <c r="AO281" s="112"/>
      <c r="AP281" s="133"/>
      <c r="AQ281" s="112"/>
      <c r="AR281" s="133"/>
    </row>
    <row r="282" spans="1:252" s="136" customFormat="1" x14ac:dyDescent="0.2">
      <c r="AL282" s="113"/>
      <c r="AN282" s="133"/>
      <c r="AO282" s="112"/>
      <c r="AP282" s="133"/>
      <c r="AQ282" s="112"/>
      <c r="AR282" s="133"/>
    </row>
    <row r="283" spans="1:252" s="136" customFormat="1" ht="12" customHeight="1" x14ac:dyDescent="0.2">
      <c r="AL283" s="113"/>
      <c r="AN283" s="133"/>
      <c r="AO283" s="112"/>
      <c r="AP283" s="133"/>
      <c r="AQ283" s="112"/>
      <c r="AR283" s="133"/>
    </row>
    <row r="284" spans="1:252" s="136" customFormat="1" ht="31.5" x14ac:dyDescent="0.2">
      <c r="A284" s="167" t="s">
        <v>290</v>
      </c>
      <c r="B284" s="169"/>
      <c r="C284" s="169"/>
      <c r="D284" s="169"/>
      <c r="E284" s="169"/>
      <c r="F284" s="169"/>
      <c r="G284" s="169"/>
      <c r="H284" s="169"/>
      <c r="I284" s="169"/>
      <c r="J284" s="169"/>
      <c r="K284" s="169"/>
      <c r="L284" s="169"/>
      <c r="M284" s="169"/>
      <c r="N284" s="169"/>
      <c r="O284" s="169"/>
      <c r="P284" s="170"/>
      <c r="Q284" s="170"/>
      <c r="R284" s="170"/>
      <c r="S284" s="170"/>
      <c r="T284" s="170"/>
      <c r="U284" s="170"/>
      <c r="V284" s="170"/>
      <c r="W284" s="170"/>
      <c r="X284" s="170"/>
      <c r="Y284" s="170"/>
      <c r="Z284" s="170"/>
      <c r="AA284" s="170"/>
      <c r="AB284" s="170"/>
      <c r="AC284" s="170"/>
      <c r="AD284" s="170"/>
      <c r="AE284" s="170"/>
      <c r="AF284" s="170"/>
      <c r="AG284" s="170"/>
      <c r="AH284" s="170"/>
      <c r="AI284" s="170"/>
      <c r="AJ284" s="154"/>
      <c r="AK284" s="154"/>
      <c r="AL284" s="113"/>
      <c r="AM284" s="154"/>
      <c r="AN284" s="133"/>
      <c r="AO284" s="112"/>
      <c r="AP284" s="133"/>
      <c r="AQ284" s="112"/>
      <c r="AR284" s="133"/>
      <c r="AS284" s="154"/>
      <c r="AT284" s="154"/>
      <c r="AU284" s="154"/>
      <c r="AV284" s="154"/>
      <c r="AW284" s="154"/>
      <c r="AX284" s="154"/>
      <c r="AY284" s="154"/>
      <c r="AZ284" s="154"/>
      <c r="BA284" s="154"/>
      <c r="BB284" s="154"/>
      <c r="BC284" s="154"/>
      <c r="BD284" s="154"/>
      <c r="BE284" s="154"/>
      <c r="BF284" s="154"/>
      <c r="BG284" s="154"/>
      <c r="BH284" s="154"/>
      <c r="BI284" s="154"/>
      <c r="BJ284" s="154"/>
      <c r="BK284" s="154"/>
      <c r="BL284" s="154"/>
      <c r="BM284" s="154"/>
      <c r="BN284" s="154"/>
      <c r="BO284" s="154"/>
      <c r="BP284" s="154"/>
      <c r="BQ284" s="154"/>
      <c r="BR284" s="154"/>
      <c r="BS284" s="154"/>
      <c r="BT284" s="154"/>
      <c r="BU284" s="154"/>
      <c r="BV284" s="154"/>
      <c r="BW284" s="154"/>
      <c r="BX284" s="154"/>
      <c r="BY284" s="154"/>
      <c r="BZ284" s="154"/>
      <c r="CA284" s="154"/>
      <c r="CB284" s="154"/>
      <c r="CC284" s="154"/>
      <c r="CD284" s="154"/>
      <c r="CE284" s="154"/>
      <c r="CF284" s="154"/>
      <c r="CG284" s="154"/>
      <c r="CH284" s="154"/>
      <c r="CI284" s="154"/>
      <c r="CJ284" s="154"/>
      <c r="CK284" s="154"/>
      <c r="CL284" s="154"/>
      <c r="CM284" s="154"/>
      <c r="CN284" s="154"/>
      <c r="CO284" s="154"/>
      <c r="CP284" s="154"/>
      <c r="CQ284" s="154"/>
      <c r="CR284" s="154"/>
      <c r="CS284" s="154"/>
      <c r="CT284" s="154"/>
      <c r="CU284" s="154"/>
      <c r="CV284" s="154"/>
      <c r="CW284" s="154"/>
      <c r="CX284" s="154"/>
      <c r="CY284" s="154"/>
      <c r="CZ284" s="154"/>
      <c r="DA284" s="154"/>
      <c r="DB284" s="154"/>
      <c r="DC284" s="154"/>
      <c r="DD284" s="154"/>
      <c r="DE284" s="154"/>
      <c r="DF284" s="154"/>
      <c r="DG284" s="154"/>
      <c r="DH284" s="154"/>
      <c r="DI284" s="154"/>
      <c r="DJ284" s="154"/>
      <c r="DK284" s="154"/>
      <c r="DL284" s="154"/>
      <c r="DM284" s="154"/>
      <c r="DN284" s="154"/>
      <c r="DO284" s="154"/>
      <c r="DP284" s="154"/>
      <c r="DQ284" s="154"/>
      <c r="DR284" s="154"/>
      <c r="DS284" s="154"/>
      <c r="DT284" s="154"/>
      <c r="DU284" s="154"/>
      <c r="DV284" s="154"/>
      <c r="DW284" s="154"/>
      <c r="DX284" s="154"/>
      <c r="DY284" s="154"/>
      <c r="DZ284" s="154"/>
      <c r="EA284" s="154"/>
      <c r="EB284" s="154"/>
      <c r="EC284" s="154"/>
      <c r="ED284" s="154"/>
      <c r="EE284" s="154"/>
      <c r="EF284" s="154"/>
      <c r="EG284" s="154"/>
      <c r="EH284" s="154"/>
      <c r="EI284" s="154"/>
      <c r="EJ284" s="154"/>
      <c r="EK284" s="154"/>
      <c r="EL284" s="154"/>
      <c r="EM284" s="154"/>
      <c r="EN284" s="154"/>
      <c r="EO284" s="154"/>
      <c r="EP284" s="154"/>
      <c r="EQ284" s="154"/>
      <c r="ER284" s="154"/>
      <c r="ES284" s="154"/>
      <c r="ET284" s="154"/>
      <c r="EU284" s="154"/>
      <c r="EV284" s="154"/>
      <c r="EW284" s="154"/>
      <c r="EX284" s="154"/>
      <c r="EY284" s="154"/>
      <c r="EZ284" s="154"/>
      <c r="FA284" s="154"/>
      <c r="FB284" s="154"/>
      <c r="FC284" s="154"/>
      <c r="FD284" s="154"/>
      <c r="FE284" s="154"/>
      <c r="FF284" s="154"/>
      <c r="FG284" s="154"/>
      <c r="FH284" s="154"/>
      <c r="FI284" s="154"/>
      <c r="FJ284" s="154"/>
      <c r="FK284" s="154"/>
      <c r="FL284" s="154"/>
      <c r="FM284" s="154"/>
      <c r="FN284" s="154"/>
      <c r="FO284" s="154"/>
      <c r="FP284" s="154"/>
      <c r="FQ284" s="154"/>
      <c r="FR284" s="154"/>
      <c r="FS284" s="154"/>
      <c r="FT284" s="154"/>
      <c r="FU284" s="154"/>
      <c r="FV284" s="154"/>
      <c r="FW284" s="154"/>
      <c r="FX284" s="154"/>
      <c r="FY284" s="154"/>
      <c r="FZ284" s="154"/>
      <c r="GA284" s="154"/>
      <c r="GB284" s="154"/>
      <c r="GC284" s="154"/>
      <c r="GD284" s="154"/>
      <c r="GE284" s="154"/>
      <c r="GF284" s="154"/>
      <c r="GG284" s="154"/>
      <c r="GH284" s="154"/>
      <c r="GI284" s="154"/>
      <c r="GJ284" s="154"/>
      <c r="GK284" s="154"/>
      <c r="GL284" s="154"/>
      <c r="GM284" s="154"/>
      <c r="GN284" s="154"/>
      <c r="GO284" s="154"/>
      <c r="GP284" s="154"/>
      <c r="GQ284" s="154"/>
      <c r="GR284" s="154"/>
      <c r="GS284" s="154"/>
      <c r="GT284" s="154"/>
      <c r="GU284" s="154"/>
      <c r="GV284" s="154"/>
      <c r="GW284" s="154"/>
      <c r="GX284" s="154"/>
      <c r="GY284" s="154"/>
      <c r="GZ284" s="154"/>
      <c r="HA284" s="154"/>
      <c r="HB284" s="154"/>
      <c r="HC284" s="154"/>
      <c r="HD284" s="154"/>
      <c r="HE284" s="154"/>
      <c r="HF284" s="154"/>
      <c r="HG284" s="154"/>
      <c r="HH284" s="154"/>
      <c r="HI284" s="154"/>
      <c r="HJ284" s="154"/>
      <c r="HK284" s="154"/>
      <c r="HL284" s="154"/>
      <c r="HM284" s="154"/>
      <c r="HN284" s="154"/>
      <c r="HO284" s="154"/>
      <c r="HP284" s="154"/>
      <c r="HQ284" s="154"/>
      <c r="HR284" s="154"/>
      <c r="HS284" s="154"/>
      <c r="HT284" s="154"/>
      <c r="HU284" s="154"/>
      <c r="HV284" s="154"/>
      <c r="HW284" s="154"/>
      <c r="HX284" s="154"/>
      <c r="HY284" s="154"/>
      <c r="HZ284" s="154"/>
      <c r="IA284" s="154"/>
      <c r="IB284" s="154"/>
      <c r="IC284" s="154"/>
      <c r="ID284" s="154"/>
      <c r="IE284" s="154"/>
      <c r="IF284" s="154"/>
      <c r="IG284" s="154"/>
      <c r="IH284" s="154"/>
      <c r="II284" s="154"/>
      <c r="IJ284" s="154"/>
      <c r="IK284" s="154"/>
      <c r="IL284" s="154"/>
      <c r="IM284" s="154"/>
      <c r="IN284" s="154"/>
      <c r="IO284" s="154"/>
      <c r="IP284" s="154"/>
      <c r="IQ284" s="154"/>
      <c r="IR284" s="154"/>
    </row>
    <row r="285" spans="1:252" s="136" customFormat="1" x14ac:dyDescent="0.2">
      <c r="A285" s="17"/>
      <c r="B285" s="18"/>
      <c r="C285" s="18"/>
      <c r="D285" s="18"/>
      <c r="E285" s="18"/>
      <c r="F285" s="18"/>
      <c r="G285" s="18"/>
      <c r="H285" s="18"/>
      <c r="I285" s="18"/>
      <c r="J285" s="18"/>
      <c r="K285" s="18"/>
      <c r="L285" s="18"/>
      <c r="M285" s="19" t="s">
        <v>16</v>
      </c>
      <c r="N285" s="18"/>
      <c r="O285" s="18"/>
      <c r="P285" s="18"/>
      <c r="Q285" s="18"/>
      <c r="R285" s="18"/>
      <c r="S285" s="18"/>
      <c r="T285" s="18"/>
      <c r="U285" s="18"/>
      <c r="V285" s="18"/>
      <c r="W285" s="18"/>
      <c r="X285" s="18"/>
      <c r="Y285" s="18"/>
      <c r="Z285" s="18"/>
      <c r="AA285" s="18"/>
      <c r="AB285" s="18"/>
      <c r="AC285" s="18"/>
      <c r="AD285" s="18"/>
      <c r="AE285" s="18"/>
      <c r="AF285" s="18"/>
      <c r="AG285" s="18"/>
      <c r="AH285" s="18"/>
      <c r="AI285" s="18"/>
      <c r="AL285" s="113"/>
      <c r="AN285" s="133"/>
      <c r="AO285" s="112"/>
      <c r="AP285" s="133"/>
      <c r="AQ285" s="112"/>
      <c r="AR285" s="133"/>
    </row>
    <row r="286" spans="1:252" s="136" customFormat="1" x14ac:dyDescent="0.2">
      <c r="A286" s="17"/>
      <c r="B286" s="20">
        <f>Aprekini!B5</f>
        <v>2019</v>
      </c>
      <c r="C286" s="20">
        <f t="shared" ref="C286:AG286" si="793">B286+1</f>
        <v>2020</v>
      </c>
      <c r="D286" s="20">
        <f t="shared" si="793"/>
        <v>2021</v>
      </c>
      <c r="E286" s="20">
        <f t="shared" si="793"/>
        <v>2022</v>
      </c>
      <c r="F286" s="20">
        <f t="shared" si="793"/>
        <v>2023</v>
      </c>
      <c r="G286" s="20">
        <f t="shared" si="793"/>
        <v>2024</v>
      </c>
      <c r="H286" s="20">
        <f t="shared" si="793"/>
        <v>2025</v>
      </c>
      <c r="I286" s="20">
        <f t="shared" si="793"/>
        <v>2026</v>
      </c>
      <c r="J286" s="20">
        <f t="shared" si="793"/>
        <v>2027</v>
      </c>
      <c r="K286" s="20">
        <f t="shared" si="793"/>
        <v>2028</v>
      </c>
      <c r="L286" s="20">
        <f t="shared" si="793"/>
        <v>2029</v>
      </c>
      <c r="M286" s="20">
        <f t="shared" si="793"/>
        <v>2030</v>
      </c>
      <c r="N286" s="20">
        <f t="shared" si="793"/>
        <v>2031</v>
      </c>
      <c r="O286" s="20">
        <f t="shared" si="793"/>
        <v>2032</v>
      </c>
      <c r="P286" s="20">
        <f t="shared" si="793"/>
        <v>2033</v>
      </c>
      <c r="Q286" s="20">
        <f t="shared" si="793"/>
        <v>2034</v>
      </c>
      <c r="R286" s="20">
        <f t="shared" si="793"/>
        <v>2035</v>
      </c>
      <c r="S286" s="20">
        <f t="shared" si="793"/>
        <v>2036</v>
      </c>
      <c r="T286" s="20">
        <f t="shared" si="793"/>
        <v>2037</v>
      </c>
      <c r="U286" s="175">
        <f t="shared" si="793"/>
        <v>2038</v>
      </c>
      <c r="V286" s="175">
        <f t="shared" si="793"/>
        <v>2039</v>
      </c>
      <c r="W286" s="175">
        <f t="shared" si="793"/>
        <v>2040</v>
      </c>
      <c r="X286" s="175">
        <f t="shared" si="793"/>
        <v>2041</v>
      </c>
      <c r="Y286" s="175">
        <f t="shared" si="793"/>
        <v>2042</v>
      </c>
      <c r="Z286" s="175">
        <f t="shared" si="793"/>
        <v>2043</v>
      </c>
      <c r="AA286" s="175">
        <f t="shared" si="793"/>
        <v>2044</v>
      </c>
      <c r="AB286" s="175">
        <f t="shared" si="793"/>
        <v>2045</v>
      </c>
      <c r="AC286" s="175">
        <f t="shared" si="793"/>
        <v>2046</v>
      </c>
      <c r="AD286" s="175">
        <f t="shared" si="793"/>
        <v>2047</v>
      </c>
      <c r="AE286" s="175">
        <f t="shared" si="793"/>
        <v>2048</v>
      </c>
      <c r="AF286" s="175">
        <f t="shared" si="793"/>
        <v>2049</v>
      </c>
      <c r="AG286" s="175">
        <f t="shared" si="793"/>
        <v>2050</v>
      </c>
      <c r="AH286" s="175">
        <f>AG286+1</f>
        <v>2051</v>
      </c>
      <c r="AI286" s="175">
        <f>AH286+1</f>
        <v>2052</v>
      </c>
      <c r="AL286" s="113"/>
      <c r="AN286" s="133"/>
      <c r="AO286" s="112"/>
      <c r="AP286" s="133"/>
      <c r="AQ286" s="112"/>
      <c r="AR286" s="133"/>
    </row>
    <row r="287" spans="1:252" s="136" customFormat="1" x14ac:dyDescent="0.2">
      <c r="A287" s="193" t="s">
        <v>95</v>
      </c>
      <c r="B287" s="730">
        <f>'Saimnieciskas pamatdarbibas NP'!B159</f>
        <v>0</v>
      </c>
      <c r="C287" s="730">
        <f>'Saimnieciskas pamatdarbibas NP'!C159</f>
        <v>0</v>
      </c>
      <c r="D287" s="730">
        <f>'Saimnieciskas pamatdarbibas NP'!D159</f>
        <v>27518.853999999908</v>
      </c>
      <c r="E287" s="730">
        <f>'Saimnieciskas pamatdarbibas NP'!E159</f>
        <v>35882.729999999967</v>
      </c>
      <c r="F287" s="730">
        <f>'Saimnieciskas pamatdarbibas NP'!F159</f>
        <v>30934.151999999951</v>
      </c>
      <c r="G287" s="730">
        <f>'Saimnieciskas pamatdarbibas NP'!G159</f>
        <v>32326.631999999987</v>
      </c>
      <c r="H287" s="730">
        <f>'Saimnieciskas pamatdarbibas NP'!H159</f>
        <v>33794.01</v>
      </c>
      <c r="I287" s="730">
        <f>'Saimnieciskas pamatdarbibas NP'!I159</f>
        <v>31978.512000000053</v>
      </c>
      <c r="J287" s="730">
        <f>'Saimnieciskas pamatdarbibas NP'!J159</f>
        <v>30237.911999999997</v>
      </c>
      <c r="K287" s="730">
        <f>'Saimnieciskas pamatdarbibas NP'!K159</f>
        <v>34838.369999999974</v>
      </c>
      <c r="L287" s="730">
        <f>'Saimnieciskas pamatdarbibas NP'!L159</f>
        <v>33794.010000000024</v>
      </c>
      <c r="M287" s="730">
        <f>'Saimnieciskas pamatdarbibas NP'!M159</f>
        <v>33022.872000000025</v>
      </c>
      <c r="N287" s="730">
        <f>'Saimnieciskas pamatdarbibas NP'!N159</f>
        <v>22156.254000000044</v>
      </c>
      <c r="O287" s="730">
        <f>'Saimnieciskas pamatdarbibas NP'!O159</f>
        <v>21111.893999999935</v>
      </c>
      <c r="P287" s="730">
        <f>'Saimnieciskas pamatdarbibas NP'!P159</f>
        <v>18600.155999999981</v>
      </c>
      <c r="Q287" s="730">
        <f>'Saimnieciskas pamatdarbibas NP'!Q159</f>
        <v>22504.37399999996</v>
      </c>
      <c r="R287" s="730">
        <f>'Saimnieciskas pamatdarbibas NP'!R159</f>
        <v>16511.436000000009</v>
      </c>
      <c r="S287" s="730">
        <f>'Saimnieciskas pamatdarbibas NP'!S159</f>
        <v>20415.653999999988</v>
      </c>
      <c r="T287" s="730">
        <f>'Saimnieciskas pamatdarbibas NP'!T159</f>
        <v>17903.915999999997</v>
      </c>
      <c r="U287" s="730">
        <f>'Saimnieciskas pamatdarbibas NP'!U159</f>
        <v>21808.133999999984</v>
      </c>
      <c r="V287" s="730">
        <f>'Saimnieciskas pamatdarbibas NP'!V159</f>
        <v>19644.515999999996</v>
      </c>
      <c r="W287" s="730">
        <f>'Saimnieciskas pamatdarbibas NP'!W159</f>
        <v>23548.733999999968</v>
      </c>
      <c r="X287" s="730">
        <f>'Saimnieciskas pamatdarbibas NP'!X159</f>
        <v>21036.996000000014</v>
      </c>
      <c r="Y287" s="730">
        <f>'Saimnieciskas pamatdarbibas NP'!Y159</f>
        <v>21460.013999999974</v>
      </c>
      <c r="Z287" s="730">
        <f>'Saimnieciskas pamatdarbibas NP'!Z159</f>
        <v>22156.253999999986</v>
      </c>
      <c r="AA287" s="730">
        <f>'Saimnieciskas pamatdarbibas NP'!AA159</f>
        <v>22852.493999999992</v>
      </c>
      <c r="AB287" s="730">
        <f>'Saimnieciskas pamatdarbibas NP'!AB159</f>
        <v>24244.973999999987</v>
      </c>
      <c r="AC287" s="730">
        <f>'Saimnieciskas pamatdarbibas NP'!AC159</f>
        <v>22504.373999999982</v>
      </c>
      <c r="AD287" s="730">
        <f>'Saimnieciskas pamatdarbibas NP'!AD159</f>
        <v>23896.853999999992</v>
      </c>
      <c r="AE287" s="730">
        <f>'Saimnieciskas pamatdarbibas NP'!AE159</f>
        <v>25289.334000000032</v>
      </c>
      <c r="AF287" s="730">
        <f>'Saimnieciskas pamatdarbibas NP'!AF159</f>
        <v>25289.333999999981</v>
      </c>
      <c r="AG287" s="730">
        <f>'Saimnieciskas pamatdarbibas NP'!AG159</f>
        <v>24941.213999999978</v>
      </c>
      <c r="AH287" s="730">
        <f>'Saimnieciskas pamatdarbibas NP'!AH159</f>
        <v>24941.213999999927</v>
      </c>
      <c r="AI287" s="730">
        <f>'Saimnieciskas pamatdarbibas NP'!AI159</f>
        <v>24593.093999999983</v>
      </c>
      <c r="AL287" s="113"/>
      <c r="AN287" s="133"/>
      <c r="AO287" s="112"/>
      <c r="AP287" s="133"/>
      <c r="AQ287" s="112"/>
      <c r="AR287" s="133"/>
    </row>
    <row r="288" spans="1:252" s="136" customFormat="1" x14ac:dyDescent="0.2">
      <c r="A288" s="193" t="s">
        <v>255</v>
      </c>
      <c r="B288" s="730">
        <f t="shared" ref="B288:AH288" si="794">B168</f>
        <v>0</v>
      </c>
      <c r="C288" s="730">
        <f t="shared" si="794"/>
        <v>0</v>
      </c>
      <c r="D288" s="730">
        <f t="shared" si="794"/>
        <v>0</v>
      </c>
      <c r="E288" s="730">
        <f t="shared" si="794"/>
        <v>0</v>
      </c>
      <c r="F288" s="730">
        <f t="shared" si="794"/>
        <v>0</v>
      </c>
      <c r="G288" s="730">
        <f t="shared" si="794"/>
        <v>0</v>
      </c>
      <c r="H288" s="730">
        <f t="shared" si="794"/>
        <v>0</v>
      </c>
      <c r="I288" s="730">
        <f t="shared" si="794"/>
        <v>0</v>
      </c>
      <c r="J288" s="730">
        <f t="shared" si="794"/>
        <v>0</v>
      </c>
      <c r="K288" s="730">
        <f t="shared" si="794"/>
        <v>0</v>
      </c>
      <c r="L288" s="730">
        <f t="shared" si="794"/>
        <v>0</v>
      </c>
      <c r="M288" s="730">
        <f t="shared" si="794"/>
        <v>0</v>
      </c>
      <c r="N288" s="730">
        <f t="shared" si="794"/>
        <v>0</v>
      </c>
      <c r="O288" s="730">
        <f t="shared" si="794"/>
        <v>0</v>
      </c>
      <c r="P288" s="730">
        <f t="shared" si="794"/>
        <v>0</v>
      </c>
      <c r="Q288" s="730">
        <f t="shared" si="794"/>
        <v>0</v>
      </c>
      <c r="R288" s="730">
        <f t="shared" si="794"/>
        <v>0</v>
      </c>
      <c r="S288" s="730">
        <f t="shared" si="794"/>
        <v>0</v>
      </c>
      <c r="T288" s="730">
        <f t="shared" si="794"/>
        <v>0</v>
      </c>
      <c r="U288" s="730">
        <f t="shared" si="794"/>
        <v>0</v>
      </c>
      <c r="V288" s="730">
        <f t="shared" si="794"/>
        <v>0</v>
      </c>
      <c r="W288" s="730">
        <f t="shared" si="794"/>
        <v>0</v>
      </c>
      <c r="X288" s="730">
        <f t="shared" si="794"/>
        <v>0</v>
      </c>
      <c r="Y288" s="730">
        <f t="shared" si="794"/>
        <v>0</v>
      </c>
      <c r="Z288" s="730">
        <f t="shared" si="794"/>
        <v>0</v>
      </c>
      <c r="AA288" s="730">
        <f t="shared" si="794"/>
        <v>0</v>
      </c>
      <c r="AB288" s="730">
        <f t="shared" si="794"/>
        <v>0</v>
      </c>
      <c r="AC288" s="730">
        <f t="shared" si="794"/>
        <v>0</v>
      </c>
      <c r="AD288" s="730">
        <f t="shared" si="794"/>
        <v>0</v>
      </c>
      <c r="AE288" s="730">
        <f t="shared" si="794"/>
        <v>0</v>
      </c>
      <c r="AF288" s="730">
        <f t="shared" si="794"/>
        <v>54164</v>
      </c>
      <c r="AG288" s="730">
        <f t="shared" si="794"/>
        <v>0</v>
      </c>
      <c r="AH288" s="730">
        <f t="shared" si="794"/>
        <v>0</v>
      </c>
      <c r="AI288" s="730">
        <f>AI168</f>
        <v>0</v>
      </c>
      <c r="AL288" s="113"/>
      <c r="AN288" s="133"/>
      <c r="AO288" s="112"/>
      <c r="AP288" s="133"/>
      <c r="AQ288" s="112"/>
      <c r="AR288" s="133"/>
    </row>
    <row r="289" spans="1:252" s="136" customFormat="1" x14ac:dyDescent="0.2">
      <c r="A289" s="178" t="s">
        <v>144</v>
      </c>
      <c r="B289" s="711">
        <f>SUM(B287:B288)</f>
        <v>0</v>
      </c>
      <c r="C289" s="711">
        <f t="shared" ref="C289:AH289" si="795">SUM(C287:C288)</f>
        <v>0</v>
      </c>
      <c r="D289" s="711">
        <f t="shared" si="795"/>
        <v>27518.853999999908</v>
      </c>
      <c r="E289" s="711">
        <f t="shared" si="795"/>
        <v>35882.729999999967</v>
      </c>
      <c r="F289" s="711">
        <f t="shared" si="795"/>
        <v>30934.151999999951</v>
      </c>
      <c r="G289" s="711">
        <f t="shared" si="795"/>
        <v>32326.631999999987</v>
      </c>
      <c r="H289" s="711">
        <f t="shared" si="795"/>
        <v>33794.01</v>
      </c>
      <c r="I289" s="711">
        <f t="shared" si="795"/>
        <v>31978.512000000053</v>
      </c>
      <c r="J289" s="711">
        <f t="shared" si="795"/>
        <v>30237.911999999997</v>
      </c>
      <c r="K289" s="711">
        <f t="shared" si="795"/>
        <v>34838.369999999974</v>
      </c>
      <c r="L289" s="711">
        <f t="shared" si="795"/>
        <v>33794.010000000024</v>
      </c>
      <c r="M289" s="711">
        <f t="shared" si="795"/>
        <v>33022.872000000025</v>
      </c>
      <c r="N289" s="711">
        <f t="shared" si="795"/>
        <v>22156.254000000044</v>
      </c>
      <c r="O289" s="711">
        <f t="shared" si="795"/>
        <v>21111.893999999935</v>
      </c>
      <c r="P289" s="711">
        <f t="shared" si="795"/>
        <v>18600.155999999981</v>
      </c>
      <c r="Q289" s="711">
        <f t="shared" si="795"/>
        <v>22504.37399999996</v>
      </c>
      <c r="R289" s="711">
        <f t="shared" si="795"/>
        <v>16511.436000000009</v>
      </c>
      <c r="S289" s="711">
        <f t="shared" si="795"/>
        <v>20415.653999999988</v>
      </c>
      <c r="T289" s="711">
        <f t="shared" si="795"/>
        <v>17903.915999999997</v>
      </c>
      <c r="U289" s="711">
        <f t="shared" si="795"/>
        <v>21808.133999999984</v>
      </c>
      <c r="V289" s="711">
        <f t="shared" si="795"/>
        <v>19644.515999999996</v>
      </c>
      <c r="W289" s="711">
        <f t="shared" si="795"/>
        <v>23548.733999999968</v>
      </c>
      <c r="X289" s="711">
        <f t="shared" si="795"/>
        <v>21036.996000000014</v>
      </c>
      <c r="Y289" s="711">
        <f t="shared" si="795"/>
        <v>21460.013999999974</v>
      </c>
      <c r="Z289" s="711">
        <f t="shared" si="795"/>
        <v>22156.253999999986</v>
      </c>
      <c r="AA289" s="711">
        <f t="shared" si="795"/>
        <v>22852.493999999992</v>
      </c>
      <c r="AB289" s="711">
        <f t="shared" si="795"/>
        <v>24244.973999999987</v>
      </c>
      <c r="AC289" s="711">
        <f t="shared" si="795"/>
        <v>22504.373999999982</v>
      </c>
      <c r="AD289" s="711">
        <f t="shared" si="795"/>
        <v>23896.853999999992</v>
      </c>
      <c r="AE289" s="711">
        <f t="shared" si="795"/>
        <v>25289.334000000032</v>
      </c>
      <c r="AF289" s="711">
        <f t="shared" si="795"/>
        <v>79453.333999999973</v>
      </c>
      <c r="AG289" s="711">
        <f t="shared" si="795"/>
        <v>24941.213999999978</v>
      </c>
      <c r="AH289" s="711">
        <f t="shared" si="795"/>
        <v>24941.213999999927</v>
      </c>
      <c r="AI289" s="711">
        <f>SUM(AI287:AI288)</f>
        <v>24593.093999999983</v>
      </c>
      <c r="AL289" s="113"/>
      <c r="AN289" s="133"/>
      <c r="AO289" s="112"/>
      <c r="AP289" s="133"/>
      <c r="AQ289" s="112"/>
      <c r="AR289" s="133"/>
    </row>
    <row r="290" spans="1:252" s="136" customFormat="1" x14ac:dyDescent="0.2">
      <c r="A290" s="147" t="s">
        <v>145</v>
      </c>
      <c r="B290" s="730">
        <f>'Saimnieciskas pamatdarbibas NP'!B150</f>
        <v>0</v>
      </c>
      <c r="C290" s="730">
        <f>'Saimnieciskas pamatdarbibas NP'!C150</f>
        <v>0</v>
      </c>
      <c r="D290" s="730">
        <f>'Saimnieciskas pamatdarbibas NP'!D150</f>
        <v>13146.654499999946</v>
      </c>
      <c r="E290" s="730">
        <f>'Saimnieciskas pamatdarbibas NP'!E150</f>
        <v>13404.802299999981</v>
      </c>
      <c r="F290" s="730">
        <f>'Saimnieciskas pamatdarbibas NP'!F150</f>
        <v>13655.070100000012</v>
      </c>
      <c r="G290" s="730">
        <f>'Saimnieciskas pamatdarbibas NP'!G150</f>
        <v>13905.327900000033</v>
      </c>
      <c r="H290" s="730">
        <f>'Saimnieciskas pamatdarbibas NP'!H150</f>
        <v>14155.595699999947</v>
      </c>
      <c r="I290" s="730">
        <f>'Saimnieciskas pamatdarbibas NP'!I150</f>
        <v>14405.853500000085</v>
      </c>
      <c r="J290" s="730">
        <f>'Saimnieciskas pamatdarbibas NP'!J150</f>
        <v>14656.111300000106</v>
      </c>
      <c r="K290" s="730">
        <f>'Saimnieciskas pamatdarbibas NP'!K150</f>
        <v>14906.379099999904</v>
      </c>
      <c r="L290" s="730">
        <f>'Saimnieciskas pamatdarbibas NP'!L150</f>
        <v>15164.536899999948</v>
      </c>
      <c r="M290" s="730">
        <f>'Saimnieciskas pamatdarbibas NP'!M150</f>
        <v>15422.6847000001</v>
      </c>
      <c r="N290" s="730">
        <f>'Saimnieciskas pamatdarbibas NP'!N150</f>
        <v>15680.832500000019</v>
      </c>
      <c r="O290" s="730">
        <f>'Saimnieciskas pamatdarbibas NP'!O150</f>
        <v>16056.229199999943</v>
      </c>
      <c r="P290" s="730">
        <f>'Saimnieciskas pamatdarbibas NP'!P150</f>
        <v>16431.625899999985</v>
      </c>
      <c r="Q290" s="730">
        <f>'Saimnieciskas pamatdarbibas NP'!Q150</f>
        <v>16807.0125999999</v>
      </c>
      <c r="R290" s="730">
        <f>'Saimnieciskas pamatdarbibas NP'!R150</f>
        <v>17182.409300000058</v>
      </c>
      <c r="S290" s="730">
        <f>'Saimnieciskas pamatdarbibas NP'!S150</f>
        <v>17557.805999999982</v>
      </c>
      <c r="T290" s="730">
        <f>'Saimnieciskas pamatdarbibas NP'!T150</f>
        <v>17933.192700000014</v>
      </c>
      <c r="U290" s="730">
        <f>'Saimnieciskas pamatdarbibas NP'!U150</f>
        <v>18308.589400000055</v>
      </c>
      <c r="V290" s="730">
        <f>'Saimnieciskas pamatdarbibas NP'!V150</f>
        <v>18683.986100000096</v>
      </c>
      <c r="W290" s="730">
        <f>'Saimnieciskas pamatdarbibas NP'!W150</f>
        <v>19059.372800000012</v>
      </c>
      <c r="X290" s="730">
        <f>'Saimnieciskas pamatdarbibas NP'!X150</f>
        <v>19434.769499999937</v>
      </c>
      <c r="Y290" s="730">
        <f>'Saimnieciskas pamatdarbibas NP'!Y150</f>
        <v>19810.166199999978</v>
      </c>
      <c r="Z290" s="730">
        <f>'Saimnieciskas pamatdarbibas NP'!Z150</f>
        <v>20185.55290000001</v>
      </c>
      <c r="AA290" s="730">
        <f>'Saimnieciskas pamatdarbibas NP'!AA150</f>
        <v>20560.949599999934</v>
      </c>
      <c r="AB290" s="730">
        <f>'Saimnieciskas pamatdarbibas NP'!AB150</f>
        <v>20944.226300000097</v>
      </c>
      <c r="AC290" s="730">
        <f>'Saimnieciskas pamatdarbibas NP'!AC150</f>
        <v>21327.523000000161</v>
      </c>
      <c r="AD290" s="730">
        <f>'Saimnieciskas pamatdarbibas NP'!AD150</f>
        <v>21710.809699999983</v>
      </c>
      <c r="AE290" s="730">
        <f>'Saimnieciskas pamatdarbibas NP'!AE150</f>
        <v>22094.086399999913</v>
      </c>
      <c r="AF290" s="730">
        <f>'Saimnieciskas pamatdarbibas NP'!AF150</f>
        <v>22594.611999999848</v>
      </c>
      <c r="AG290" s="730">
        <f>'Saimnieciskas pamatdarbibas NP'!AG150</f>
        <v>23095.137599999784</v>
      </c>
      <c r="AH290" s="730">
        <f>'Saimnieciskas pamatdarbibas NP'!AH150</f>
        <v>23595.663200000068</v>
      </c>
      <c r="AI290" s="730">
        <f>'Saimnieciskas pamatdarbibas NP'!AI150</f>
        <v>24096.178799999994</v>
      </c>
      <c r="AL290" s="113"/>
      <c r="AN290" s="133"/>
      <c r="AO290" s="112"/>
      <c r="AP290" s="133"/>
      <c r="AQ290" s="112"/>
      <c r="AR290" s="133"/>
    </row>
    <row r="291" spans="1:252" s="136" customFormat="1" x14ac:dyDescent="0.2">
      <c r="A291" s="213" t="s">
        <v>166</v>
      </c>
      <c r="B291" s="709">
        <f>B307</f>
        <v>0</v>
      </c>
      <c r="C291" s="731">
        <f>C307</f>
        <v>0</v>
      </c>
      <c r="D291" s="731">
        <f t="shared" ref="D291:AH291" si="796">D307</f>
        <v>2000</v>
      </c>
      <c r="E291" s="731">
        <f t="shared" si="796"/>
        <v>2000</v>
      </c>
      <c r="F291" s="731">
        <f t="shared" si="796"/>
        <v>1800</v>
      </c>
      <c r="G291" s="731">
        <f t="shared" si="796"/>
        <v>1600</v>
      </c>
      <c r="H291" s="731">
        <f t="shared" si="796"/>
        <v>1400</v>
      </c>
      <c r="I291" s="731">
        <f t="shared" si="796"/>
        <v>1200</v>
      </c>
      <c r="J291" s="731">
        <f t="shared" si="796"/>
        <v>1000</v>
      </c>
      <c r="K291" s="731">
        <f t="shared" si="796"/>
        <v>800</v>
      </c>
      <c r="L291" s="731">
        <f t="shared" si="796"/>
        <v>600</v>
      </c>
      <c r="M291" s="731">
        <f t="shared" si="796"/>
        <v>400</v>
      </c>
      <c r="N291" s="731">
        <f t="shared" si="796"/>
        <v>200</v>
      </c>
      <c r="O291" s="731">
        <f t="shared" si="796"/>
        <v>0</v>
      </c>
      <c r="P291" s="731">
        <f t="shared" si="796"/>
        <v>0</v>
      </c>
      <c r="Q291" s="731">
        <f t="shared" si="796"/>
        <v>0</v>
      </c>
      <c r="R291" s="731">
        <f t="shared" si="796"/>
        <v>0</v>
      </c>
      <c r="S291" s="731">
        <f t="shared" si="796"/>
        <v>0</v>
      </c>
      <c r="T291" s="731">
        <f t="shared" si="796"/>
        <v>0</v>
      </c>
      <c r="U291" s="731">
        <f t="shared" si="796"/>
        <v>0</v>
      </c>
      <c r="V291" s="731">
        <f t="shared" si="796"/>
        <v>0</v>
      </c>
      <c r="W291" s="731">
        <f t="shared" si="796"/>
        <v>0</v>
      </c>
      <c r="X291" s="731">
        <f t="shared" si="796"/>
        <v>0</v>
      </c>
      <c r="Y291" s="731">
        <f t="shared" si="796"/>
        <v>0</v>
      </c>
      <c r="Z291" s="731">
        <f t="shared" si="796"/>
        <v>0</v>
      </c>
      <c r="AA291" s="731">
        <f t="shared" si="796"/>
        <v>0</v>
      </c>
      <c r="AB291" s="731">
        <f t="shared" si="796"/>
        <v>0</v>
      </c>
      <c r="AC291" s="731">
        <f t="shared" si="796"/>
        <v>0</v>
      </c>
      <c r="AD291" s="731">
        <f t="shared" si="796"/>
        <v>0</v>
      </c>
      <c r="AE291" s="731">
        <f t="shared" si="796"/>
        <v>0</v>
      </c>
      <c r="AF291" s="731">
        <f t="shared" si="796"/>
        <v>0</v>
      </c>
      <c r="AG291" s="731">
        <f t="shared" si="796"/>
        <v>0</v>
      </c>
      <c r="AH291" s="731">
        <f t="shared" si="796"/>
        <v>0</v>
      </c>
      <c r="AI291" s="731">
        <f>AI307</f>
        <v>0</v>
      </c>
      <c r="AL291" s="113"/>
      <c r="AN291" s="133"/>
      <c r="AO291" s="112"/>
      <c r="AP291" s="133"/>
      <c r="AQ291" s="112"/>
      <c r="AR291" s="133"/>
    </row>
    <row r="292" spans="1:252" s="136" customFormat="1" x14ac:dyDescent="0.2">
      <c r="A292" s="213" t="s">
        <v>167</v>
      </c>
      <c r="B292" s="709">
        <f>B308</f>
        <v>0</v>
      </c>
      <c r="C292" s="731">
        <f>C308</f>
        <v>0</v>
      </c>
      <c r="D292" s="731">
        <f t="shared" ref="D292:AH292" si="797">D308</f>
        <v>0</v>
      </c>
      <c r="E292" s="731">
        <f t="shared" si="797"/>
        <v>5000</v>
      </c>
      <c r="F292" s="731">
        <f t="shared" si="797"/>
        <v>5000</v>
      </c>
      <c r="G292" s="731">
        <f t="shared" si="797"/>
        <v>5000</v>
      </c>
      <c r="H292" s="731">
        <f t="shared" si="797"/>
        <v>5000</v>
      </c>
      <c r="I292" s="731">
        <f t="shared" si="797"/>
        <v>5000</v>
      </c>
      <c r="J292" s="731">
        <f t="shared" si="797"/>
        <v>5000</v>
      </c>
      <c r="K292" s="731">
        <f t="shared" si="797"/>
        <v>5000</v>
      </c>
      <c r="L292" s="731">
        <f t="shared" si="797"/>
        <v>5000</v>
      </c>
      <c r="M292" s="731">
        <f t="shared" si="797"/>
        <v>5000</v>
      </c>
      <c r="N292" s="731">
        <f t="shared" si="797"/>
        <v>5000</v>
      </c>
      <c r="O292" s="731">
        <f t="shared" si="797"/>
        <v>0</v>
      </c>
      <c r="P292" s="731">
        <f t="shared" si="797"/>
        <v>0</v>
      </c>
      <c r="Q292" s="731">
        <f t="shared" si="797"/>
        <v>0</v>
      </c>
      <c r="R292" s="731">
        <f t="shared" si="797"/>
        <v>0</v>
      </c>
      <c r="S292" s="731">
        <f t="shared" si="797"/>
        <v>0</v>
      </c>
      <c r="T292" s="731">
        <f t="shared" si="797"/>
        <v>0</v>
      </c>
      <c r="U292" s="731">
        <f t="shared" si="797"/>
        <v>0</v>
      </c>
      <c r="V292" s="731">
        <f t="shared" si="797"/>
        <v>0</v>
      </c>
      <c r="W292" s="731">
        <f t="shared" si="797"/>
        <v>0</v>
      </c>
      <c r="X292" s="731">
        <f t="shared" si="797"/>
        <v>0</v>
      </c>
      <c r="Y292" s="731">
        <f t="shared" si="797"/>
        <v>0</v>
      </c>
      <c r="Z292" s="731">
        <f t="shared" si="797"/>
        <v>0</v>
      </c>
      <c r="AA292" s="731">
        <f t="shared" si="797"/>
        <v>0</v>
      </c>
      <c r="AB292" s="731">
        <f t="shared" si="797"/>
        <v>0</v>
      </c>
      <c r="AC292" s="731">
        <f t="shared" si="797"/>
        <v>0</v>
      </c>
      <c r="AD292" s="731">
        <f t="shared" si="797"/>
        <v>0</v>
      </c>
      <c r="AE292" s="731">
        <f t="shared" si="797"/>
        <v>0</v>
      </c>
      <c r="AF292" s="731">
        <f t="shared" si="797"/>
        <v>0</v>
      </c>
      <c r="AG292" s="731">
        <f t="shared" si="797"/>
        <v>0</v>
      </c>
      <c r="AH292" s="731">
        <f t="shared" si="797"/>
        <v>0</v>
      </c>
      <c r="AI292" s="731">
        <f>AI308</f>
        <v>0</v>
      </c>
      <c r="AL292" s="113"/>
      <c r="AN292" s="133"/>
      <c r="AO292" s="112"/>
      <c r="AP292" s="133"/>
      <c r="AQ292" s="112"/>
      <c r="AR292" s="133"/>
    </row>
    <row r="293" spans="1:252" s="136" customFormat="1" x14ac:dyDescent="0.2">
      <c r="A293" s="147" t="s">
        <v>168</v>
      </c>
      <c r="B293" s="730">
        <f>Aprekini!B208</f>
        <v>0</v>
      </c>
      <c r="C293" s="730">
        <f>Aprekini!C208</f>
        <v>177031.85336800001</v>
      </c>
      <c r="D293" s="730">
        <f>Aprekini!D208</f>
        <v>18955.526043999998</v>
      </c>
      <c r="E293" s="730">
        <f>Aprekini!E208</f>
        <v>0</v>
      </c>
      <c r="F293" s="730">
        <f>Aprekini!F208</f>
        <v>0</v>
      </c>
      <c r="G293" s="730">
        <f>Aprekini!G208</f>
        <v>0</v>
      </c>
      <c r="H293" s="730">
        <f>Aprekini!H208</f>
        <v>0</v>
      </c>
      <c r="I293" s="730">
        <f>Aprekini!I208</f>
        <v>0</v>
      </c>
      <c r="J293" s="730">
        <f>Aprekini!J208</f>
        <v>0</v>
      </c>
      <c r="K293" s="730">
        <f>Aprekini!K208</f>
        <v>0</v>
      </c>
      <c r="L293" s="730">
        <f>Aprekini!L208</f>
        <v>0</v>
      </c>
      <c r="M293" s="730">
        <f>Aprekini!M208</f>
        <v>0</v>
      </c>
      <c r="N293" s="730">
        <f>Aprekini!N208</f>
        <v>0</v>
      </c>
      <c r="O293" s="730">
        <f>Aprekini!O208</f>
        <v>0</v>
      </c>
      <c r="P293" s="730">
        <f>Aprekini!P208</f>
        <v>0</v>
      </c>
      <c r="Q293" s="730">
        <f>Aprekini!Q208</f>
        <v>0</v>
      </c>
      <c r="R293" s="730">
        <f>Aprekini!R208</f>
        <v>0</v>
      </c>
      <c r="S293" s="730">
        <f>Aprekini!S208</f>
        <v>0</v>
      </c>
      <c r="T293" s="730">
        <f>Aprekini!T208</f>
        <v>0</v>
      </c>
      <c r="U293" s="730">
        <f>Aprekini!U208</f>
        <v>0</v>
      </c>
      <c r="V293" s="730">
        <f>Aprekini!V208</f>
        <v>0</v>
      </c>
      <c r="W293" s="730">
        <f>Aprekini!W208</f>
        <v>0</v>
      </c>
      <c r="X293" s="730">
        <f>Aprekini!X208</f>
        <v>0</v>
      </c>
      <c r="Y293" s="730">
        <f>Aprekini!Y208</f>
        <v>0</v>
      </c>
      <c r="Z293" s="730">
        <f>Aprekini!Z208</f>
        <v>0</v>
      </c>
      <c r="AA293" s="730">
        <f>Aprekini!AA208</f>
        <v>0</v>
      </c>
      <c r="AB293" s="730">
        <f>Aprekini!AB208</f>
        <v>0</v>
      </c>
      <c r="AC293" s="730">
        <f>Aprekini!AC208</f>
        <v>0</v>
      </c>
      <c r="AD293" s="730">
        <f>Aprekini!AD208</f>
        <v>0</v>
      </c>
      <c r="AE293" s="730">
        <f>Aprekini!AE208</f>
        <v>0</v>
      </c>
      <c r="AF293" s="730">
        <f>Aprekini!AF208</f>
        <v>0</v>
      </c>
      <c r="AG293" s="730">
        <f>Aprekini!AG208</f>
        <v>0</v>
      </c>
      <c r="AH293" s="730">
        <f>Aprekini!AH208</f>
        <v>0</v>
      </c>
      <c r="AI293" s="730">
        <f>Aprekini!AI208</f>
        <v>0</v>
      </c>
      <c r="AL293" s="113"/>
      <c r="AN293" s="133"/>
      <c r="AO293" s="112"/>
      <c r="AP293" s="133"/>
      <c r="AQ293" s="112"/>
      <c r="AR293" s="133"/>
    </row>
    <row r="294" spans="1:252" s="136" customFormat="1" x14ac:dyDescent="0.2">
      <c r="A294" s="178" t="s">
        <v>169</v>
      </c>
      <c r="B294" s="711">
        <f t="shared" ref="B294:AG294" si="798">SUM(B290:B293)</f>
        <v>0</v>
      </c>
      <c r="C294" s="711">
        <f t="shared" si="798"/>
        <v>177031.85336800001</v>
      </c>
      <c r="D294" s="711">
        <f t="shared" si="798"/>
        <v>34102.180543999944</v>
      </c>
      <c r="E294" s="711">
        <f t="shared" si="798"/>
        <v>20404.802299999981</v>
      </c>
      <c r="F294" s="711">
        <f t="shared" si="798"/>
        <v>20455.070100000012</v>
      </c>
      <c r="G294" s="711">
        <f t="shared" si="798"/>
        <v>20505.327900000033</v>
      </c>
      <c r="H294" s="711">
        <f t="shared" si="798"/>
        <v>20555.595699999947</v>
      </c>
      <c r="I294" s="711">
        <f t="shared" si="798"/>
        <v>20605.853500000085</v>
      </c>
      <c r="J294" s="711">
        <f t="shared" si="798"/>
        <v>20656.111300000106</v>
      </c>
      <c r="K294" s="711">
        <f t="shared" si="798"/>
        <v>20706.379099999904</v>
      </c>
      <c r="L294" s="711">
        <f t="shared" si="798"/>
        <v>20764.536899999948</v>
      </c>
      <c r="M294" s="711">
        <f t="shared" si="798"/>
        <v>20822.6847000001</v>
      </c>
      <c r="N294" s="711">
        <f t="shared" si="798"/>
        <v>20880.832500000019</v>
      </c>
      <c r="O294" s="711">
        <f t="shared" si="798"/>
        <v>16056.229199999943</v>
      </c>
      <c r="P294" s="711">
        <f t="shared" si="798"/>
        <v>16431.625899999985</v>
      </c>
      <c r="Q294" s="711">
        <f t="shared" si="798"/>
        <v>16807.0125999999</v>
      </c>
      <c r="R294" s="711">
        <f t="shared" si="798"/>
        <v>17182.409300000058</v>
      </c>
      <c r="S294" s="711">
        <f t="shared" si="798"/>
        <v>17557.805999999982</v>
      </c>
      <c r="T294" s="711">
        <f t="shared" si="798"/>
        <v>17933.192700000014</v>
      </c>
      <c r="U294" s="711">
        <f t="shared" si="798"/>
        <v>18308.589400000055</v>
      </c>
      <c r="V294" s="711">
        <f t="shared" si="798"/>
        <v>18683.986100000096</v>
      </c>
      <c r="W294" s="711">
        <f t="shared" si="798"/>
        <v>19059.372800000012</v>
      </c>
      <c r="X294" s="711">
        <f t="shared" si="798"/>
        <v>19434.769499999937</v>
      </c>
      <c r="Y294" s="711">
        <f t="shared" si="798"/>
        <v>19810.166199999978</v>
      </c>
      <c r="Z294" s="711">
        <f t="shared" si="798"/>
        <v>20185.55290000001</v>
      </c>
      <c r="AA294" s="711">
        <f t="shared" si="798"/>
        <v>20560.949599999934</v>
      </c>
      <c r="AB294" s="711">
        <f t="shared" si="798"/>
        <v>20944.226300000097</v>
      </c>
      <c r="AC294" s="711">
        <f t="shared" si="798"/>
        <v>21327.523000000161</v>
      </c>
      <c r="AD294" s="711">
        <f t="shared" si="798"/>
        <v>21710.809699999983</v>
      </c>
      <c r="AE294" s="711">
        <f t="shared" si="798"/>
        <v>22094.086399999913</v>
      </c>
      <c r="AF294" s="711">
        <f t="shared" si="798"/>
        <v>22594.611999999848</v>
      </c>
      <c r="AG294" s="711">
        <f t="shared" si="798"/>
        <v>23095.137599999784</v>
      </c>
      <c r="AH294" s="711">
        <f>SUM(AH290:AH293)</f>
        <v>23595.663200000068</v>
      </c>
      <c r="AI294" s="711">
        <f>SUM(AI290:AI293)</f>
        <v>24096.178799999994</v>
      </c>
      <c r="AL294" s="113"/>
      <c r="AN294" s="133"/>
      <c r="AO294" s="112"/>
      <c r="AP294" s="133"/>
      <c r="AQ294" s="112"/>
      <c r="AR294" s="133"/>
    </row>
    <row r="295" spans="1:252" s="136" customFormat="1" x14ac:dyDescent="0.2">
      <c r="A295" s="194" t="s">
        <v>147</v>
      </c>
      <c r="B295" s="733">
        <f t="shared" ref="B295:AG295" si="799">B289-B294</f>
        <v>0</v>
      </c>
      <c r="C295" s="733">
        <f t="shared" si="799"/>
        <v>-177031.85336800001</v>
      </c>
      <c r="D295" s="733">
        <f t="shared" si="799"/>
        <v>-6583.3265440000359</v>
      </c>
      <c r="E295" s="733">
        <f t="shared" si="799"/>
        <v>15477.927699999986</v>
      </c>
      <c r="F295" s="733">
        <f t="shared" si="799"/>
        <v>10479.081899999939</v>
      </c>
      <c r="G295" s="733">
        <f t="shared" si="799"/>
        <v>11821.304099999954</v>
      </c>
      <c r="H295" s="733">
        <f t="shared" si="799"/>
        <v>13238.414300000055</v>
      </c>
      <c r="I295" s="733">
        <f t="shared" si="799"/>
        <v>11372.658499999969</v>
      </c>
      <c r="J295" s="733">
        <f t="shared" si="799"/>
        <v>9581.8006999998906</v>
      </c>
      <c r="K295" s="733">
        <f t="shared" si="799"/>
        <v>14131.99090000007</v>
      </c>
      <c r="L295" s="733">
        <f t="shared" si="799"/>
        <v>13029.473100000076</v>
      </c>
      <c r="M295" s="733">
        <f t="shared" si="799"/>
        <v>12200.187299999925</v>
      </c>
      <c r="N295" s="733">
        <f t="shared" si="799"/>
        <v>1275.4215000000258</v>
      </c>
      <c r="O295" s="733">
        <f t="shared" si="799"/>
        <v>5055.6647999999914</v>
      </c>
      <c r="P295" s="733">
        <f t="shared" si="799"/>
        <v>2168.5300999999963</v>
      </c>
      <c r="Q295" s="733">
        <f t="shared" si="799"/>
        <v>5697.3614000000598</v>
      </c>
      <c r="R295" s="733">
        <f t="shared" si="799"/>
        <v>-670.97330000004877</v>
      </c>
      <c r="S295" s="733">
        <f t="shared" si="799"/>
        <v>2857.8480000000054</v>
      </c>
      <c r="T295" s="733">
        <f t="shared" si="799"/>
        <v>-29.276700000016717</v>
      </c>
      <c r="U295" s="733">
        <f t="shared" si="799"/>
        <v>3499.5445999999283</v>
      </c>
      <c r="V295" s="733">
        <f t="shared" si="799"/>
        <v>960.5298999998995</v>
      </c>
      <c r="W295" s="733">
        <f t="shared" si="799"/>
        <v>4489.3611999999557</v>
      </c>
      <c r="X295" s="733">
        <f t="shared" si="799"/>
        <v>1602.2265000000771</v>
      </c>
      <c r="Y295" s="733">
        <f t="shared" si="799"/>
        <v>1649.8477999999959</v>
      </c>
      <c r="Z295" s="733">
        <f t="shared" si="799"/>
        <v>1970.7010999999766</v>
      </c>
      <c r="AA295" s="733">
        <f t="shared" si="799"/>
        <v>2291.5444000000571</v>
      </c>
      <c r="AB295" s="733">
        <f t="shared" si="799"/>
        <v>3300.7476999998908</v>
      </c>
      <c r="AC295" s="733">
        <f t="shared" si="799"/>
        <v>1176.8509999998205</v>
      </c>
      <c r="AD295" s="733">
        <f t="shared" si="799"/>
        <v>2186.0443000000087</v>
      </c>
      <c r="AE295" s="733">
        <f t="shared" si="799"/>
        <v>3195.2476000001188</v>
      </c>
      <c r="AF295" s="733">
        <f t="shared" si="799"/>
        <v>56858.722000000125</v>
      </c>
      <c r="AG295" s="733">
        <f t="shared" si="799"/>
        <v>1846.0764000001946</v>
      </c>
      <c r="AH295" s="733">
        <f>AH289-AH294</f>
        <v>1345.550799999859</v>
      </c>
      <c r="AI295" s="733">
        <f>AI289-AI294</f>
        <v>496.91519999998854</v>
      </c>
      <c r="AL295" s="113"/>
      <c r="AN295" s="133"/>
      <c r="AO295" s="112"/>
      <c r="AP295" s="133"/>
      <c r="AQ295" s="112"/>
      <c r="AR295" s="133"/>
    </row>
    <row r="296" spans="1:252" s="136" customFormat="1" x14ac:dyDescent="0.2">
      <c r="A296" s="44" t="s">
        <v>170</v>
      </c>
      <c r="B296" s="195"/>
      <c r="C296" s="195"/>
      <c r="D296" s="195"/>
      <c r="E296" s="195"/>
      <c r="F296" s="195"/>
      <c r="G296" s="195"/>
      <c r="H296" s="18"/>
      <c r="I296" s="195"/>
      <c r="J296" s="195"/>
      <c r="K296" s="195"/>
      <c r="L296" s="195"/>
      <c r="M296" s="214">
        <f>IFERROR(IRR(C295:AF295,0),"Nevar aprēķināt")</f>
        <v>9.7245010642119656E-3</v>
      </c>
      <c r="N296" s="195"/>
      <c r="O296" s="195"/>
      <c r="P296" s="18"/>
      <c r="Q296" s="197"/>
      <c r="R296" s="195"/>
      <c r="S296" s="195"/>
      <c r="T296" s="195"/>
      <c r="U296" s="195"/>
      <c r="V296" s="195"/>
      <c r="W296" s="195"/>
      <c r="X296" s="195"/>
      <c r="Y296" s="195"/>
      <c r="Z296" s="195"/>
      <c r="AA296" s="195"/>
      <c r="AB296" s="195"/>
      <c r="AC296" s="195"/>
      <c r="AD296" s="195"/>
      <c r="AE296" s="195"/>
      <c r="AF296" s="195"/>
      <c r="AG296" s="195"/>
      <c r="AH296" s="195"/>
      <c r="AI296" s="195"/>
      <c r="AL296" s="113"/>
      <c r="AN296" s="133"/>
      <c r="AO296" s="112"/>
      <c r="AP296" s="133"/>
      <c r="AQ296" s="112"/>
      <c r="AR296" s="133"/>
    </row>
    <row r="297" spans="1:252" s="136" customFormat="1" x14ac:dyDescent="0.2">
      <c r="A297" s="44" t="s">
        <v>171</v>
      </c>
      <c r="B297" s="18"/>
      <c r="C297" s="18"/>
      <c r="D297" s="18"/>
      <c r="E297" s="18"/>
      <c r="F297" s="18"/>
      <c r="G297" s="18"/>
      <c r="H297" s="18"/>
      <c r="I297" s="18"/>
      <c r="J297" s="18"/>
      <c r="K297" s="18"/>
      <c r="L297" s="18"/>
      <c r="M297" s="215">
        <f>NPV('Kopējie pieņēmumi'!B16,C295:AF295)</f>
        <v>-84074.272769268297</v>
      </c>
      <c r="N297" s="18"/>
      <c r="O297" s="18"/>
      <c r="P297" s="18"/>
      <c r="Q297" s="200"/>
      <c r="R297" s="18"/>
      <c r="S297" s="18"/>
      <c r="T297" s="18"/>
      <c r="U297" s="18"/>
      <c r="V297" s="18"/>
      <c r="W297" s="18"/>
      <c r="X297" s="18"/>
      <c r="Y297" s="18"/>
      <c r="Z297" s="18"/>
      <c r="AA297" s="18"/>
      <c r="AB297" s="18"/>
      <c r="AC297" s="18"/>
      <c r="AD297" s="18"/>
      <c r="AE297" s="18"/>
      <c r="AF297" s="18"/>
      <c r="AG297" s="18"/>
      <c r="AH297" s="18"/>
      <c r="AI297" s="18"/>
      <c r="AL297" s="113"/>
      <c r="AN297" s="133"/>
      <c r="AO297" s="112"/>
      <c r="AP297" s="133"/>
      <c r="AQ297" s="112"/>
      <c r="AR297" s="133"/>
    </row>
    <row r="298" spans="1:252" s="136" customFormat="1" x14ac:dyDescent="0.2">
      <c r="AL298" s="113"/>
      <c r="AN298" s="133"/>
      <c r="AO298" s="112"/>
      <c r="AP298" s="133"/>
      <c r="AQ298" s="112"/>
      <c r="AR298" s="133"/>
    </row>
    <row r="299" spans="1:252" s="136" customFormat="1" x14ac:dyDescent="0.2">
      <c r="AL299" s="113"/>
      <c r="AN299" s="133"/>
      <c r="AO299" s="112"/>
      <c r="AP299" s="133"/>
      <c r="AQ299" s="112"/>
      <c r="AR299" s="133"/>
    </row>
    <row r="300" spans="1:252" s="136" customFormat="1" ht="32.85" customHeight="1" x14ac:dyDescent="0.25">
      <c r="A300" s="216" t="s">
        <v>291</v>
      </c>
      <c r="B300" s="217"/>
      <c r="C300" s="217"/>
      <c r="D300" s="217"/>
      <c r="E300" s="217"/>
      <c r="F300" s="217"/>
      <c r="G300" s="217"/>
      <c r="H300" s="217"/>
      <c r="I300" s="217"/>
      <c r="J300" s="217"/>
      <c r="K300" s="217"/>
      <c r="L300" s="217"/>
      <c r="M300" s="217"/>
      <c r="N300" s="217"/>
      <c r="O300" s="217"/>
      <c r="P300" s="217"/>
      <c r="Q300" s="217"/>
      <c r="R300" s="217"/>
      <c r="S300" s="217"/>
      <c r="T300" s="217"/>
      <c r="U300" s="217"/>
      <c r="V300" s="170"/>
      <c r="W300" s="170"/>
      <c r="X300" s="170"/>
      <c r="Y300" s="170"/>
      <c r="Z300" s="170"/>
      <c r="AA300" s="170"/>
      <c r="AB300" s="170"/>
      <c r="AC300" s="170"/>
      <c r="AD300" s="170"/>
      <c r="AE300" s="170"/>
      <c r="AF300" s="170"/>
      <c r="AG300" s="170"/>
      <c r="AH300" s="170"/>
      <c r="AI300" s="170"/>
      <c r="AJ300" s="154"/>
      <c r="AK300" s="154"/>
      <c r="AL300" s="113"/>
      <c r="AM300" s="154"/>
      <c r="AN300" s="133"/>
      <c r="AO300" s="112"/>
      <c r="AP300" s="133"/>
      <c r="AQ300" s="112"/>
      <c r="AR300" s="133"/>
      <c r="AS300" s="154"/>
      <c r="AT300" s="154"/>
      <c r="AU300" s="154"/>
      <c r="AV300" s="154"/>
      <c r="AW300" s="154"/>
      <c r="AX300" s="154"/>
      <c r="AY300" s="154"/>
      <c r="AZ300" s="154"/>
      <c r="BA300" s="154"/>
      <c r="BB300" s="154"/>
      <c r="BC300" s="154"/>
      <c r="BD300" s="154"/>
      <c r="BE300" s="154"/>
      <c r="BF300" s="154"/>
      <c r="BG300" s="154"/>
      <c r="BH300" s="154"/>
      <c r="BI300" s="154"/>
      <c r="BJ300" s="154"/>
      <c r="BK300" s="154"/>
      <c r="BL300" s="154"/>
      <c r="BM300" s="154"/>
      <c r="BN300" s="154"/>
      <c r="BO300" s="154"/>
      <c r="BP300" s="154"/>
      <c r="BQ300" s="154"/>
      <c r="BR300" s="154"/>
      <c r="BS300" s="154"/>
      <c r="BT300" s="154"/>
      <c r="BU300" s="154"/>
      <c r="BV300" s="154"/>
      <c r="BW300" s="154"/>
      <c r="BX300" s="154"/>
      <c r="BY300" s="154"/>
      <c r="BZ300" s="154"/>
      <c r="CA300" s="154"/>
      <c r="CB300" s="154"/>
      <c r="CC300" s="154"/>
      <c r="CD300" s="154"/>
      <c r="CE300" s="154"/>
      <c r="CF300" s="154"/>
      <c r="CG300" s="154"/>
      <c r="CH300" s="154"/>
      <c r="CI300" s="154"/>
      <c r="CJ300" s="154"/>
      <c r="CK300" s="154"/>
      <c r="CL300" s="154"/>
      <c r="CM300" s="154"/>
      <c r="CN300" s="154"/>
      <c r="CO300" s="154"/>
      <c r="CP300" s="154"/>
      <c r="CQ300" s="154"/>
      <c r="CR300" s="154"/>
      <c r="CS300" s="154"/>
      <c r="CT300" s="154"/>
      <c r="CU300" s="154"/>
      <c r="CV300" s="154"/>
      <c r="CW300" s="154"/>
      <c r="CX300" s="154"/>
      <c r="CY300" s="154"/>
      <c r="CZ300" s="154"/>
      <c r="DA300" s="154"/>
      <c r="DB300" s="154"/>
      <c r="DC300" s="154"/>
      <c r="DD300" s="154"/>
      <c r="DE300" s="154"/>
      <c r="DF300" s="154"/>
      <c r="DG300" s="154"/>
      <c r="DH300" s="154"/>
      <c r="DI300" s="154"/>
      <c r="DJ300" s="154"/>
      <c r="DK300" s="154"/>
      <c r="DL300" s="154"/>
      <c r="DM300" s="154"/>
      <c r="DN300" s="154"/>
      <c r="DO300" s="154"/>
      <c r="DP300" s="154"/>
      <c r="DQ300" s="154"/>
      <c r="DR300" s="154"/>
      <c r="DS300" s="154"/>
      <c r="DT300" s="154"/>
      <c r="DU300" s="154"/>
      <c r="DV300" s="154"/>
      <c r="DW300" s="154"/>
      <c r="DX300" s="154"/>
      <c r="DY300" s="154"/>
      <c r="DZ300" s="154"/>
      <c r="EA300" s="154"/>
      <c r="EB300" s="154"/>
      <c r="EC300" s="154"/>
      <c r="ED300" s="154"/>
      <c r="EE300" s="154"/>
      <c r="EF300" s="154"/>
      <c r="EG300" s="154"/>
      <c r="EH300" s="154"/>
      <c r="EI300" s="154"/>
      <c r="EJ300" s="154"/>
      <c r="EK300" s="154"/>
      <c r="EL300" s="154"/>
      <c r="EM300" s="154"/>
      <c r="EN300" s="154"/>
      <c r="EO300" s="154"/>
      <c r="EP300" s="154"/>
      <c r="EQ300" s="154"/>
      <c r="ER300" s="154"/>
      <c r="ES300" s="154"/>
      <c r="ET300" s="154"/>
      <c r="EU300" s="154"/>
      <c r="EV300" s="154"/>
      <c r="EW300" s="154"/>
      <c r="EX300" s="154"/>
      <c r="EY300" s="154"/>
      <c r="EZ300" s="154"/>
      <c r="FA300" s="154"/>
      <c r="FB300" s="154"/>
      <c r="FC300" s="154"/>
      <c r="FD300" s="154"/>
      <c r="FE300" s="154"/>
      <c r="FF300" s="154"/>
      <c r="FG300" s="154"/>
      <c r="FH300" s="154"/>
      <c r="FI300" s="154"/>
      <c r="FJ300" s="154"/>
      <c r="FK300" s="154"/>
      <c r="FL300" s="154"/>
      <c r="FM300" s="154"/>
      <c r="FN300" s="154"/>
      <c r="FO300" s="154"/>
      <c r="FP300" s="154"/>
      <c r="FQ300" s="154"/>
      <c r="FR300" s="154"/>
      <c r="FS300" s="154"/>
      <c r="FT300" s="154"/>
      <c r="FU300" s="154"/>
      <c r="FV300" s="154"/>
      <c r="FW300" s="154"/>
      <c r="FX300" s="154"/>
      <c r="FY300" s="154"/>
      <c r="FZ300" s="154"/>
      <c r="GA300" s="154"/>
      <c r="GB300" s="154"/>
      <c r="GC300" s="154"/>
      <c r="GD300" s="154"/>
      <c r="GE300" s="154"/>
      <c r="GF300" s="154"/>
      <c r="GG300" s="154"/>
      <c r="GH300" s="154"/>
      <c r="GI300" s="154"/>
      <c r="GJ300" s="154"/>
      <c r="GK300" s="154"/>
      <c r="GL300" s="154"/>
      <c r="GM300" s="154"/>
      <c r="GN300" s="154"/>
      <c r="GO300" s="154"/>
      <c r="GP300" s="154"/>
      <c r="GQ300" s="154"/>
      <c r="GR300" s="154"/>
      <c r="GS300" s="154"/>
      <c r="GT300" s="154"/>
      <c r="GU300" s="154"/>
      <c r="GV300" s="154"/>
      <c r="GW300" s="154"/>
      <c r="GX300" s="154"/>
      <c r="GY300" s="154"/>
      <c r="GZ300" s="154"/>
      <c r="HA300" s="154"/>
      <c r="HB300" s="154"/>
      <c r="HC300" s="154"/>
      <c r="HD300" s="154"/>
      <c r="HE300" s="154"/>
      <c r="HF300" s="154"/>
      <c r="HG300" s="154"/>
      <c r="HH300" s="154"/>
      <c r="HI300" s="154"/>
      <c r="HJ300" s="154"/>
      <c r="HK300" s="154"/>
      <c r="HL300" s="154"/>
      <c r="HM300" s="154"/>
      <c r="HN300" s="154"/>
      <c r="HO300" s="154"/>
      <c r="HP300" s="154"/>
      <c r="HQ300" s="154"/>
      <c r="HR300" s="154"/>
      <c r="HS300" s="154"/>
      <c r="HT300" s="154"/>
      <c r="HU300" s="154"/>
      <c r="HV300" s="154"/>
      <c r="HW300" s="154"/>
      <c r="HX300" s="154"/>
      <c r="HY300" s="154"/>
      <c r="HZ300" s="154"/>
      <c r="IA300" s="154"/>
      <c r="IB300" s="154"/>
      <c r="IC300" s="154"/>
      <c r="ID300" s="154"/>
      <c r="IE300" s="154"/>
      <c r="IF300" s="154"/>
      <c r="IG300" s="154"/>
      <c r="IH300" s="154"/>
      <c r="II300" s="154"/>
      <c r="IJ300" s="154"/>
      <c r="IK300" s="154"/>
      <c r="IL300" s="154"/>
      <c r="IM300" s="154"/>
      <c r="IN300" s="154"/>
      <c r="IO300" s="154"/>
      <c r="IP300" s="154"/>
      <c r="IQ300" s="154"/>
      <c r="IR300" s="154"/>
    </row>
    <row r="301" spans="1:252" s="136" customFormat="1" x14ac:dyDescent="0.2">
      <c r="A301" s="218"/>
      <c r="B301" s="116"/>
      <c r="C301" s="116"/>
      <c r="D301" s="116"/>
      <c r="E301" s="116"/>
      <c r="F301" s="172"/>
      <c r="G301" s="116"/>
      <c r="H301" s="116"/>
      <c r="I301" s="116"/>
      <c r="J301" s="172" t="s">
        <v>16</v>
      </c>
      <c r="K301" s="116"/>
      <c r="L301" s="172"/>
      <c r="M301" s="116"/>
      <c r="N301" s="116"/>
      <c r="O301" s="116"/>
      <c r="P301" s="219"/>
      <c r="Q301" s="219"/>
      <c r="R301" s="219"/>
      <c r="S301" s="219"/>
      <c r="T301" s="219"/>
      <c r="U301" s="219"/>
      <c r="V301" s="219"/>
      <c r="W301" s="219"/>
      <c r="X301" s="219"/>
      <c r="Y301" s="219"/>
      <c r="Z301" s="219"/>
      <c r="AA301" s="219"/>
      <c r="AB301" s="219"/>
      <c r="AC301" s="219"/>
      <c r="AD301" s="219"/>
      <c r="AE301" s="219"/>
      <c r="AF301" s="219"/>
      <c r="AG301" s="219"/>
      <c r="AH301" s="219"/>
      <c r="AI301" s="219"/>
      <c r="AJ301" s="154"/>
      <c r="AK301" s="154"/>
      <c r="AL301" s="113"/>
      <c r="AM301" s="154"/>
      <c r="AN301" s="133"/>
      <c r="AO301" s="112"/>
      <c r="AP301" s="133"/>
      <c r="AQ301" s="112"/>
      <c r="AR301" s="133"/>
      <c r="AS301" s="154"/>
      <c r="AT301" s="154"/>
      <c r="AU301" s="154"/>
      <c r="AV301" s="154"/>
      <c r="AW301" s="154"/>
      <c r="AX301" s="154"/>
      <c r="AY301" s="154"/>
      <c r="AZ301" s="154"/>
      <c r="BA301" s="154"/>
      <c r="BB301" s="154"/>
      <c r="BC301" s="154"/>
      <c r="BD301" s="154"/>
      <c r="BE301" s="154"/>
      <c r="BF301" s="154"/>
      <c r="BG301" s="154"/>
      <c r="BH301" s="154"/>
      <c r="BI301" s="154"/>
      <c r="BJ301" s="154"/>
      <c r="BK301" s="154"/>
      <c r="BL301" s="154"/>
      <c r="BM301" s="154"/>
      <c r="BN301" s="154"/>
      <c r="BO301" s="154"/>
      <c r="BP301" s="154"/>
      <c r="BQ301" s="154"/>
      <c r="BR301" s="154"/>
      <c r="BS301" s="154"/>
      <c r="BT301" s="154"/>
      <c r="BU301" s="154"/>
      <c r="BV301" s="154"/>
      <c r="BW301" s="154"/>
      <c r="BX301" s="154"/>
      <c r="BY301" s="154"/>
      <c r="BZ301" s="154"/>
      <c r="CA301" s="154"/>
      <c r="CB301" s="154"/>
      <c r="CC301" s="154"/>
      <c r="CD301" s="154"/>
      <c r="CE301" s="154"/>
      <c r="CF301" s="154"/>
      <c r="CG301" s="154"/>
      <c r="CH301" s="154"/>
      <c r="CI301" s="154"/>
      <c r="CJ301" s="154"/>
      <c r="CK301" s="154"/>
      <c r="CL301" s="154"/>
      <c r="CM301" s="154"/>
      <c r="CN301" s="154"/>
      <c r="CO301" s="154"/>
      <c r="CP301" s="154"/>
      <c r="CQ301" s="154"/>
      <c r="CR301" s="154"/>
      <c r="CS301" s="154"/>
      <c r="CT301" s="154"/>
      <c r="CU301" s="154"/>
      <c r="CV301" s="154"/>
      <c r="CW301" s="154"/>
      <c r="CX301" s="154"/>
      <c r="CY301" s="154"/>
      <c r="CZ301" s="154"/>
      <c r="DA301" s="154"/>
      <c r="DB301" s="154"/>
      <c r="DC301" s="154"/>
      <c r="DD301" s="154"/>
      <c r="DE301" s="154"/>
      <c r="DF301" s="154"/>
      <c r="DG301" s="154"/>
      <c r="DH301" s="154"/>
      <c r="DI301" s="154"/>
      <c r="DJ301" s="154"/>
      <c r="DK301" s="154"/>
      <c r="DL301" s="154"/>
      <c r="DM301" s="154"/>
      <c r="DN301" s="154"/>
      <c r="DO301" s="154"/>
      <c r="DP301" s="154"/>
      <c r="DQ301" s="154"/>
      <c r="DR301" s="154"/>
      <c r="DS301" s="154"/>
      <c r="DT301" s="154"/>
      <c r="DU301" s="154"/>
      <c r="DV301" s="154"/>
      <c r="DW301" s="154"/>
      <c r="DX301" s="154"/>
      <c r="DY301" s="154"/>
      <c r="DZ301" s="154"/>
      <c r="EA301" s="154"/>
      <c r="EB301" s="154"/>
      <c r="EC301" s="154"/>
      <c r="ED301" s="154"/>
      <c r="EE301" s="154"/>
      <c r="EF301" s="154"/>
      <c r="EG301" s="154"/>
      <c r="EH301" s="154"/>
      <c r="EI301" s="154"/>
      <c r="EJ301" s="154"/>
      <c r="EK301" s="154"/>
      <c r="EL301" s="154"/>
      <c r="EM301" s="154"/>
      <c r="EN301" s="154"/>
      <c r="EO301" s="154"/>
      <c r="EP301" s="154"/>
      <c r="EQ301" s="154"/>
      <c r="ER301" s="154"/>
      <c r="ES301" s="154"/>
      <c r="ET301" s="154"/>
      <c r="EU301" s="154"/>
      <c r="EV301" s="154"/>
      <c r="EW301" s="154"/>
      <c r="EX301" s="154"/>
      <c r="EY301" s="154"/>
      <c r="EZ301" s="154"/>
      <c r="FA301" s="154"/>
      <c r="FB301" s="154"/>
      <c r="FC301" s="154"/>
      <c r="FD301" s="154"/>
      <c r="FE301" s="154"/>
      <c r="FF301" s="154"/>
      <c r="FG301" s="154"/>
      <c r="FH301" s="154"/>
      <c r="FI301" s="154"/>
      <c r="FJ301" s="154"/>
      <c r="FK301" s="154"/>
      <c r="FL301" s="154"/>
      <c r="FM301" s="154"/>
      <c r="FN301" s="154"/>
      <c r="FO301" s="154"/>
      <c r="FP301" s="154"/>
      <c r="FQ301" s="154"/>
      <c r="FR301" s="154"/>
      <c r="FS301" s="154"/>
      <c r="FT301" s="154"/>
      <c r="FU301" s="154"/>
      <c r="FV301" s="154"/>
      <c r="FW301" s="154"/>
      <c r="FX301" s="154"/>
      <c r="FY301" s="154"/>
      <c r="FZ301" s="154"/>
      <c r="GA301" s="154"/>
      <c r="GB301" s="154"/>
      <c r="GC301" s="154"/>
      <c r="GD301" s="154"/>
      <c r="GE301" s="154"/>
      <c r="GF301" s="154"/>
      <c r="GG301" s="154"/>
      <c r="GH301" s="154"/>
      <c r="GI301" s="154"/>
      <c r="GJ301" s="154"/>
      <c r="GK301" s="154"/>
      <c r="GL301" s="154"/>
      <c r="GM301" s="154"/>
      <c r="GN301" s="154"/>
      <c r="GO301" s="154"/>
      <c r="GP301" s="154"/>
      <c r="GQ301" s="154"/>
      <c r="GR301" s="154"/>
      <c r="GS301" s="154"/>
      <c r="GT301" s="154"/>
      <c r="GU301" s="154"/>
      <c r="GV301" s="154"/>
      <c r="GW301" s="154"/>
      <c r="GX301" s="154"/>
      <c r="GY301" s="154"/>
      <c r="GZ301" s="154"/>
      <c r="HA301" s="154"/>
      <c r="HB301" s="154"/>
      <c r="HC301" s="154"/>
      <c r="HD301" s="154"/>
      <c r="HE301" s="154"/>
      <c r="HF301" s="154"/>
      <c r="HG301" s="154"/>
      <c r="HH301" s="154"/>
      <c r="HI301" s="154"/>
      <c r="HJ301" s="154"/>
      <c r="HK301" s="154"/>
      <c r="HL301" s="154"/>
      <c r="HM301" s="154"/>
      <c r="HN301" s="154"/>
      <c r="HO301" s="154"/>
      <c r="HP301" s="154"/>
      <c r="HQ301" s="154"/>
      <c r="HR301" s="154"/>
      <c r="HS301" s="154"/>
      <c r="HT301" s="154"/>
      <c r="HU301" s="154"/>
      <c r="HV301" s="154"/>
      <c r="HW301" s="154"/>
      <c r="HX301" s="154"/>
      <c r="HY301" s="154"/>
      <c r="HZ301" s="154"/>
      <c r="IA301" s="154"/>
      <c r="IB301" s="154"/>
      <c r="IC301" s="154"/>
      <c r="ID301" s="154"/>
      <c r="IE301" s="154"/>
      <c r="IF301" s="154"/>
      <c r="IG301" s="154"/>
      <c r="IH301" s="154"/>
      <c r="II301" s="154"/>
      <c r="IJ301" s="154"/>
      <c r="IK301" s="154"/>
      <c r="IL301" s="154"/>
      <c r="IM301" s="154"/>
      <c r="IN301" s="154"/>
      <c r="IO301" s="154"/>
      <c r="IP301" s="154"/>
      <c r="IQ301" s="154"/>
      <c r="IR301" s="154"/>
    </row>
    <row r="302" spans="1:252" s="136" customFormat="1" x14ac:dyDescent="0.2">
      <c r="A302" s="220"/>
      <c r="B302" s="124">
        <f>Aprekini!B5</f>
        <v>2019</v>
      </c>
      <c r="C302" s="124">
        <f t="shared" ref="C302:AG302" si="800">B302+1</f>
        <v>2020</v>
      </c>
      <c r="D302" s="124">
        <f>C302+1</f>
        <v>2021</v>
      </c>
      <c r="E302" s="124">
        <f t="shared" si="800"/>
        <v>2022</v>
      </c>
      <c r="F302" s="124">
        <f t="shared" si="800"/>
        <v>2023</v>
      </c>
      <c r="G302" s="124">
        <f t="shared" si="800"/>
        <v>2024</v>
      </c>
      <c r="H302" s="124">
        <f t="shared" si="800"/>
        <v>2025</v>
      </c>
      <c r="I302" s="124">
        <f t="shared" si="800"/>
        <v>2026</v>
      </c>
      <c r="J302" s="124">
        <f t="shared" si="800"/>
        <v>2027</v>
      </c>
      <c r="K302" s="124">
        <f t="shared" si="800"/>
        <v>2028</v>
      </c>
      <c r="L302" s="221">
        <f t="shared" si="800"/>
        <v>2029</v>
      </c>
      <c r="M302" s="222">
        <f t="shared" si="800"/>
        <v>2030</v>
      </c>
      <c r="N302" s="222">
        <f t="shared" si="800"/>
        <v>2031</v>
      </c>
      <c r="O302" s="222">
        <f t="shared" si="800"/>
        <v>2032</v>
      </c>
      <c r="P302" s="222">
        <f t="shared" si="800"/>
        <v>2033</v>
      </c>
      <c r="Q302" s="222">
        <f t="shared" si="800"/>
        <v>2034</v>
      </c>
      <c r="R302" s="222">
        <f t="shared" si="800"/>
        <v>2035</v>
      </c>
      <c r="S302" s="222">
        <f t="shared" si="800"/>
        <v>2036</v>
      </c>
      <c r="T302" s="222">
        <f t="shared" si="800"/>
        <v>2037</v>
      </c>
      <c r="U302" s="222">
        <f t="shared" si="800"/>
        <v>2038</v>
      </c>
      <c r="V302" s="222">
        <f t="shared" si="800"/>
        <v>2039</v>
      </c>
      <c r="W302" s="222">
        <f t="shared" si="800"/>
        <v>2040</v>
      </c>
      <c r="X302" s="222">
        <f t="shared" si="800"/>
        <v>2041</v>
      </c>
      <c r="Y302" s="222">
        <f t="shared" si="800"/>
        <v>2042</v>
      </c>
      <c r="Z302" s="222">
        <f t="shared" si="800"/>
        <v>2043</v>
      </c>
      <c r="AA302" s="222">
        <f t="shared" si="800"/>
        <v>2044</v>
      </c>
      <c r="AB302" s="222">
        <f t="shared" si="800"/>
        <v>2045</v>
      </c>
      <c r="AC302" s="222">
        <f t="shared" si="800"/>
        <v>2046</v>
      </c>
      <c r="AD302" s="222">
        <f t="shared" si="800"/>
        <v>2047</v>
      </c>
      <c r="AE302" s="222">
        <f t="shared" si="800"/>
        <v>2048</v>
      </c>
      <c r="AF302" s="222">
        <f t="shared" si="800"/>
        <v>2049</v>
      </c>
      <c r="AG302" s="222">
        <f t="shared" si="800"/>
        <v>2050</v>
      </c>
      <c r="AH302" s="222">
        <f>AG302+1</f>
        <v>2051</v>
      </c>
      <c r="AI302" s="222">
        <f>AH302+1</f>
        <v>2052</v>
      </c>
      <c r="AJ302" s="154"/>
      <c r="AK302" s="154"/>
      <c r="AL302" s="113"/>
      <c r="AM302" s="154"/>
      <c r="AN302" s="133"/>
      <c r="AO302" s="112"/>
      <c r="AP302" s="133"/>
      <c r="AQ302" s="112"/>
      <c r="AR302" s="133"/>
      <c r="AS302" s="154"/>
      <c r="AT302" s="154"/>
      <c r="AU302" s="154"/>
      <c r="AV302" s="154"/>
      <c r="AW302" s="154"/>
      <c r="AX302" s="154"/>
      <c r="AY302" s="154"/>
      <c r="AZ302" s="154"/>
      <c r="BA302" s="154"/>
      <c r="BB302" s="154"/>
      <c r="BC302" s="154"/>
      <c r="BD302" s="154"/>
      <c r="BE302" s="154"/>
      <c r="BF302" s="154"/>
      <c r="BG302" s="154"/>
      <c r="BH302" s="154"/>
      <c r="BI302" s="154"/>
      <c r="BJ302" s="154"/>
      <c r="BK302" s="154"/>
      <c r="BL302" s="154"/>
      <c r="BM302" s="154"/>
      <c r="BN302" s="154"/>
      <c r="BO302" s="154"/>
      <c r="BP302" s="154"/>
      <c r="BQ302" s="154"/>
      <c r="BR302" s="154"/>
      <c r="BS302" s="154"/>
      <c r="BT302" s="154"/>
      <c r="BU302" s="154"/>
      <c r="BV302" s="154"/>
      <c r="BW302" s="154"/>
      <c r="BX302" s="154"/>
      <c r="BY302" s="154"/>
      <c r="BZ302" s="154"/>
      <c r="CA302" s="154"/>
      <c r="CB302" s="154"/>
      <c r="CC302" s="154"/>
      <c r="CD302" s="154"/>
      <c r="CE302" s="154"/>
      <c r="CF302" s="154"/>
      <c r="CG302" s="154"/>
      <c r="CH302" s="154"/>
      <c r="CI302" s="154"/>
      <c r="CJ302" s="154"/>
      <c r="CK302" s="154"/>
      <c r="CL302" s="154"/>
      <c r="CM302" s="154"/>
      <c r="CN302" s="154"/>
      <c r="CO302" s="154"/>
      <c r="CP302" s="154"/>
      <c r="CQ302" s="154"/>
      <c r="CR302" s="154"/>
      <c r="CS302" s="154"/>
      <c r="CT302" s="154"/>
      <c r="CU302" s="154"/>
      <c r="CV302" s="154"/>
      <c r="CW302" s="154"/>
      <c r="CX302" s="154"/>
      <c r="CY302" s="154"/>
      <c r="CZ302" s="154"/>
      <c r="DA302" s="154"/>
      <c r="DB302" s="154"/>
      <c r="DC302" s="154"/>
      <c r="DD302" s="154"/>
      <c r="DE302" s="154"/>
      <c r="DF302" s="154"/>
      <c r="DG302" s="154"/>
      <c r="DH302" s="154"/>
      <c r="DI302" s="154"/>
      <c r="DJ302" s="154"/>
      <c r="DK302" s="154"/>
      <c r="DL302" s="154"/>
      <c r="DM302" s="154"/>
      <c r="DN302" s="154"/>
      <c r="DO302" s="154"/>
      <c r="DP302" s="154"/>
      <c r="DQ302" s="154"/>
      <c r="DR302" s="154"/>
      <c r="DS302" s="154"/>
      <c r="DT302" s="154"/>
      <c r="DU302" s="154"/>
      <c r="DV302" s="154"/>
      <c r="DW302" s="154"/>
      <c r="DX302" s="154"/>
      <c r="DY302" s="154"/>
      <c r="DZ302" s="154"/>
      <c r="EA302" s="154"/>
      <c r="EB302" s="154"/>
      <c r="EC302" s="154"/>
      <c r="ED302" s="154"/>
      <c r="EE302" s="154"/>
      <c r="EF302" s="154"/>
      <c r="EG302" s="154"/>
      <c r="EH302" s="154"/>
      <c r="EI302" s="154"/>
      <c r="EJ302" s="154"/>
      <c r="EK302" s="154"/>
      <c r="EL302" s="154"/>
      <c r="EM302" s="154"/>
      <c r="EN302" s="154"/>
      <c r="EO302" s="154"/>
      <c r="EP302" s="154"/>
      <c r="EQ302" s="154"/>
      <c r="ER302" s="154"/>
      <c r="ES302" s="154"/>
      <c r="ET302" s="154"/>
      <c r="EU302" s="154"/>
      <c r="EV302" s="154"/>
      <c r="EW302" s="154"/>
      <c r="EX302" s="154"/>
      <c r="EY302" s="154"/>
      <c r="EZ302" s="154"/>
      <c r="FA302" s="154"/>
      <c r="FB302" s="154"/>
      <c r="FC302" s="154"/>
      <c r="FD302" s="154"/>
      <c r="FE302" s="154"/>
      <c r="FF302" s="154"/>
      <c r="FG302" s="154"/>
      <c r="FH302" s="154"/>
      <c r="FI302" s="154"/>
      <c r="FJ302" s="154"/>
      <c r="FK302" s="154"/>
      <c r="FL302" s="154"/>
      <c r="FM302" s="154"/>
      <c r="FN302" s="154"/>
      <c r="FO302" s="154"/>
      <c r="FP302" s="154"/>
      <c r="FQ302" s="154"/>
      <c r="FR302" s="154"/>
      <c r="FS302" s="154"/>
      <c r="FT302" s="154"/>
      <c r="FU302" s="154"/>
      <c r="FV302" s="154"/>
      <c r="FW302" s="154"/>
      <c r="FX302" s="154"/>
      <c r="FY302" s="154"/>
      <c r="FZ302" s="154"/>
      <c r="GA302" s="154"/>
      <c r="GB302" s="154"/>
      <c r="GC302" s="154"/>
      <c r="GD302" s="154"/>
      <c r="GE302" s="154"/>
      <c r="GF302" s="154"/>
      <c r="GG302" s="154"/>
      <c r="GH302" s="154"/>
      <c r="GI302" s="154"/>
      <c r="GJ302" s="154"/>
      <c r="GK302" s="154"/>
      <c r="GL302" s="154"/>
      <c r="GM302" s="154"/>
      <c r="GN302" s="154"/>
      <c r="GO302" s="154"/>
      <c r="GP302" s="154"/>
      <c r="GQ302" s="154"/>
      <c r="GR302" s="154"/>
      <c r="GS302" s="154"/>
      <c r="GT302" s="154"/>
      <c r="GU302" s="154"/>
      <c r="GV302" s="154"/>
      <c r="GW302" s="154"/>
      <c r="GX302" s="154"/>
      <c r="GY302" s="154"/>
      <c r="GZ302" s="154"/>
      <c r="HA302" s="154"/>
      <c r="HB302" s="154"/>
      <c r="HC302" s="154"/>
      <c r="HD302" s="154"/>
      <c r="HE302" s="154"/>
      <c r="HF302" s="154"/>
      <c r="HG302" s="154"/>
      <c r="HH302" s="154"/>
      <c r="HI302" s="154"/>
      <c r="HJ302" s="154"/>
      <c r="HK302" s="154"/>
      <c r="HL302" s="154"/>
      <c r="HM302" s="154"/>
      <c r="HN302" s="154"/>
      <c r="HO302" s="154"/>
      <c r="HP302" s="154"/>
      <c r="HQ302" s="154"/>
      <c r="HR302" s="154"/>
      <c r="HS302" s="154"/>
      <c r="HT302" s="154"/>
      <c r="HU302" s="154"/>
      <c r="HV302" s="154"/>
      <c r="HW302" s="154"/>
      <c r="HX302" s="154"/>
      <c r="HY302" s="154"/>
      <c r="HZ302" s="154"/>
      <c r="IA302" s="154"/>
      <c r="IB302" s="154"/>
      <c r="IC302" s="154"/>
      <c r="ID302" s="154"/>
      <c r="IE302" s="154"/>
      <c r="IF302" s="154"/>
      <c r="IG302" s="154"/>
      <c r="IH302" s="154"/>
      <c r="II302" s="154"/>
      <c r="IJ302" s="154"/>
      <c r="IK302" s="154"/>
      <c r="IL302" s="154"/>
      <c r="IM302" s="154"/>
      <c r="IN302" s="154"/>
      <c r="IO302" s="154"/>
      <c r="IP302" s="154"/>
      <c r="IQ302" s="154"/>
      <c r="IR302" s="154"/>
    </row>
    <row r="303" spans="1:252" s="136" customFormat="1" ht="25.5" x14ac:dyDescent="0.2">
      <c r="A303" s="67" t="s">
        <v>491</v>
      </c>
      <c r="B303" s="223"/>
      <c r="C303" s="223"/>
      <c r="D303" s="223"/>
      <c r="E303" s="223"/>
      <c r="F303" s="223"/>
      <c r="G303" s="223"/>
      <c r="H303" s="223"/>
      <c r="I303" s="223"/>
      <c r="J303" s="223"/>
      <c r="K303" s="223"/>
      <c r="L303" s="223"/>
      <c r="M303" s="223"/>
      <c r="N303" s="223"/>
      <c r="O303" s="223"/>
      <c r="P303" s="223"/>
      <c r="Q303" s="223"/>
      <c r="R303" s="223"/>
      <c r="S303" s="223"/>
      <c r="T303" s="223"/>
      <c r="U303" s="223"/>
      <c r="V303" s="223"/>
      <c r="W303" s="223"/>
      <c r="X303" s="223"/>
      <c r="Y303" s="223"/>
      <c r="Z303" s="224"/>
      <c r="AA303" s="224"/>
      <c r="AB303" s="224"/>
      <c r="AC303" s="224"/>
      <c r="AD303" s="224"/>
      <c r="AE303" s="224"/>
      <c r="AF303" s="224"/>
      <c r="AG303" s="224"/>
      <c r="AH303" s="224"/>
      <c r="AI303" s="224"/>
      <c r="AJ303" s="154"/>
      <c r="AK303" s="154"/>
      <c r="AL303" s="113"/>
      <c r="AM303" s="154"/>
      <c r="AN303" s="133"/>
      <c r="AO303" s="112"/>
      <c r="AP303" s="133"/>
      <c r="AQ303" s="112"/>
      <c r="AR303" s="133"/>
      <c r="AS303" s="154"/>
      <c r="AT303" s="154"/>
      <c r="AU303" s="154"/>
      <c r="AV303" s="154"/>
      <c r="AW303" s="154"/>
      <c r="AX303" s="154"/>
      <c r="AY303" s="154"/>
      <c r="AZ303" s="154"/>
      <c r="BA303" s="154"/>
      <c r="BB303" s="154"/>
      <c r="BC303" s="154"/>
      <c r="BD303" s="154"/>
      <c r="BE303" s="154"/>
      <c r="BF303" s="154"/>
      <c r="BG303" s="154"/>
      <c r="BH303" s="154"/>
      <c r="BI303" s="154"/>
      <c r="BJ303" s="154"/>
      <c r="BK303" s="154"/>
      <c r="BL303" s="154"/>
      <c r="BM303" s="154"/>
      <c r="BN303" s="154"/>
      <c r="BO303" s="154"/>
      <c r="BP303" s="154"/>
      <c r="BQ303" s="154"/>
      <c r="BR303" s="154"/>
      <c r="BS303" s="154"/>
      <c r="BT303" s="154"/>
      <c r="BU303" s="154"/>
      <c r="BV303" s="154"/>
      <c r="BW303" s="154"/>
      <c r="BX303" s="154"/>
      <c r="BY303" s="154"/>
      <c r="BZ303" s="154"/>
      <c r="CA303" s="154"/>
      <c r="CB303" s="154"/>
      <c r="CC303" s="154"/>
      <c r="CD303" s="154"/>
      <c r="CE303" s="154"/>
      <c r="CF303" s="154"/>
      <c r="CG303" s="154"/>
      <c r="CH303" s="154"/>
      <c r="CI303" s="154"/>
      <c r="CJ303" s="154"/>
      <c r="CK303" s="154"/>
      <c r="CL303" s="154"/>
      <c r="CM303" s="154"/>
      <c r="CN303" s="154"/>
      <c r="CO303" s="154"/>
      <c r="CP303" s="154"/>
      <c r="CQ303" s="154"/>
      <c r="CR303" s="154"/>
      <c r="CS303" s="154"/>
      <c r="CT303" s="154"/>
      <c r="CU303" s="154"/>
      <c r="CV303" s="154"/>
      <c r="CW303" s="154"/>
      <c r="CX303" s="154"/>
      <c r="CY303" s="154"/>
      <c r="CZ303" s="154"/>
      <c r="DA303" s="154"/>
      <c r="DB303" s="154"/>
      <c r="DC303" s="154"/>
      <c r="DD303" s="154"/>
      <c r="DE303" s="154"/>
      <c r="DF303" s="154"/>
      <c r="DG303" s="154"/>
      <c r="DH303" s="154"/>
      <c r="DI303" s="154"/>
      <c r="DJ303" s="154"/>
      <c r="DK303" s="154"/>
      <c r="DL303" s="154"/>
      <c r="DM303" s="154"/>
      <c r="DN303" s="154"/>
      <c r="DO303" s="154"/>
      <c r="DP303" s="154"/>
      <c r="DQ303" s="154"/>
      <c r="DR303" s="154"/>
      <c r="DS303" s="154"/>
      <c r="DT303" s="154"/>
      <c r="DU303" s="154"/>
      <c r="DV303" s="154"/>
      <c r="DW303" s="154"/>
      <c r="DX303" s="154"/>
      <c r="DY303" s="154"/>
      <c r="DZ303" s="154"/>
      <c r="EA303" s="154"/>
      <c r="EB303" s="154"/>
      <c r="EC303" s="154"/>
      <c r="ED303" s="154"/>
      <c r="EE303" s="154"/>
      <c r="EF303" s="154"/>
      <c r="EG303" s="154"/>
      <c r="EH303" s="154"/>
      <c r="EI303" s="154"/>
      <c r="EJ303" s="154"/>
      <c r="EK303" s="154"/>
      <c r="EL303" s="154"/>
      <c r="EM303" s="154"/>
      <c r="EN303" s="154"/>
      <c r="EO303" s="154"/>
      <c r="EP303" s="154"/>
      <c r="EQ303" s="154"/>
      <c r="ER303" s="154"/>
      <c r="ES303" s="154"/>
      <c r="ET303" s="154"/>
      <c r="EU303" s="154"/>
      <c r="EV303" s="154"/>
      <c r="EW303" s="154"/>
      <c r="EX303" s="154"/>
      <c r="EY303" s="154"/>
      <c r="EZ303" s="154"/>
      <c r="FA303" s="154"/>
      <c r="FB303" s="154"/>
      <c r="FC303" s="154"/>
      <c r="FD303" s="154"/>
      <c r="FE303" s="154"/>
      <c r="FF303" s="154"/>
      <c r="FG303" s="154"/>
      <c r="FH303" s="154"/>
      <c r="FI303" s="154"/>
      <c r="FJ303" s="154"/>
      <c r="FK303" s="154"/>
      <c r="FL303" s="154"/>
      <c r="FM303" s="154"/>
      <c r="FN303" s="154"/>
      <c r="FO303" s="154"/>
      <c r="FP303" s="154"/>
      <c r="FQ303" s="154"/>
      <c r="FR303" s="154"/>
      <c r="FS303" s="154"/>
      <c r="FT303" s="154"/>
      <c r="FU303" s="154"/>
      <c r="FV303" s="154"/>
      <c r="FW303" s="154"/>
      <c r="FX303" s="154"/>
      <c r="FY303" s="154"/>
      <c r="FZ303" s="154"/>
      <c r="GA303" s="154"/>
      <c r="GB303" s="154"/>
      <c r="GC303" s="154"/>
      <c r="GD303" s="154"/>
      <c r="GE303" s="154"/>
      <c r="GF303" s="154"/>
      <c r="GG303" s="154"/>
      <c r="GH303" s="154"/>
      <c r="GI303" s="154"/>
      <c r="GJ303" s="154"/>
      <c r="GK303" s="154"/>
      <c r="GL303" s="154"/>
      <c r="GM303" s="154"/>
      <c r="GN303" s="154"/>
      <c r="GO303" s="154"/>
      <c r="GP303" s="154"/>
      <c r="GQ303" s="154"/>
      <c r="GR303" s="154"/>
      <c r="GS303" s="154"/>
      <c r="GT303" s="154"/>
      <c r="GU303" s="154"/>
      <c r="GV303" s="154"/>
      <c r="GW303" s="154"/>
      <c r="GX303" s="154"/>
      <c r="GY303" s="154"/>
      <c r="GZ303" s="154"/>
      <c r="HA303" s="154"/>
      <c r="HB303" s="154"/>
      <c r="HC303" s="154"/>
      <c r="HD303" s="154"/>
      <c r="HE303" s="154"/>
      <c r="HF303" s="154"/>
      <c r="HG303" s="154"/>
      <c r="HH303" s="154"/>
      <c r="HI303" s="154"/>
      <c r="HJ303" s="154"/>
      <c r="HK303" s="154"/>
      <c r="HL303" s="154"/>
      <c r="HM303" s="154"/>
      <c r="HN303" s="154"/>
      <c r="HO303" s="154"/>
      <c r="HP303" s="154"/>
      <c r="HQ303" s="154"/>
      <c r="HR303" s="154"/>
      <c r="HS303" s="154"/>
      <c r="HT303" s="154"/>
      <c r="HU303" s="154"/>
      <c r="HV303" s="154"/>
      <c r="HW303" s="154"/>
      <c r="HX303" s="154"/>
      <c r="HY303" s="154"/>
      <c r="HZ303" s="154"/>
      <c r="IA303" s="154"/>
      <c r="IB303" s="154"/>
      <c r="IC303" s="154"/>
      <c r="ID303" s="154"/>
      <c r="IE303" s="154"/>
      <c r="IF303" s="154"/>
      <c r="IG303" s="154"/>
      <c r="IH303" s="154"/>
      <c r="II303" s="154"/>
      <c r="IJ303" s="154"/>
      <c r="IK303" s="154"/>
      <c r="IL303" s="154"/>
      <c r="IM303" s="154"/>
      <c r="IN303" s="154"/>
      <c r="IO303" s="154"/>
      <c r="IP303" s="154"/>
      <c r="IQ303" s="154"/>
      <c r="IR303" s="154"/>
    </row>
    <row r="304" spans="1:252" s="136" customFormat="1" x14ac:dyDescent="0.2">
      <c r="A304" s="225" t="s">
        <v>172</v>
      </c>
      <c r="B304" s="226">
        <f>'Datu ievade'!B155</f>
        <v>0.04</v>
      </c>
      <c r="C304" s="226"/>
      <c r="D304" s="226"/>
      <c r="E304" s="226"/>
      <c r="F304" s="226"/>
      <c r="G304" s="226"/>
      <c r="H304" s="226"/>
      <c r="I304" s="226"/>
      <c r="J304" s="226"/>
      <c r="K304" s="226"/>
      <c r="L304" s="226"/>
      <c r="M304" s="226"/>
      <c r="N304" s="226"/>
      <c r="O304" s="226"/>
      <c r="P304" s="226"/>
      <c r="Q304" s="226"/>
      <c r="R304" s="226"/>
      <c r="S304" s="226"/>
      <c r="T304" s="226"/>
      <c r="U304" s="226"/>
      <c r="V304" s="226"/>
      <c r="W304" s="226"/>
      <c r="X304" s="226"/>
      <c r="Y304" s="226"/>
      <c r="Z304" s="226"/>
      <c r="AA304" s="226"/>
      <c r="AB304" s="226"/>
      <c r="AC304" s="226"/>
      <c r="AD304" s="226"/>
      <c r="AE304" s="226"/>
      <c r="AF304" s="226"/>
      <c r="AG304" s="226"/>
      <c r="AH304" s="226"/>
      <c r="AI304" s="226"/>
      <c r="AJ304" s="154"/>
      <c r="AK304" s="154"/>
      <c r="AL304" s="113"/>
      <c r="AM304" s="154"/>
      <c r="AN304" s="133"/>
      <c r="AO304" s="112"/>
      <c r="AP304" s="133"/>
      <c r="AQ304" s="112"/>
      <c r="AR304" s="133"/>
      <c r="AS304" s="154"/>
      <c r="AT304" s="154"/>
      <c r="AU304" s="154"/>
      <c r="AV304" s="154"/>
      <c r="AW304" s="154"/>
      <c r="AX304" s="154"/>
      <c r="AY304" s="154"/>
      <c r="AZ304" s="154"/>
      <c r="BA304" s="154"/>
      <c r="BB304" s="154"/>
      <c r="BC304" s="154"/>
      <c r="BD304" s="154"/>
      <c r="BE304" s="154"/>
      <c r="BF304" s="154"/>
      <c r="BG304" s="154"/>
      <c r="BH304" s="154"/>
      <c r="BI304" s="154"/>
      <c r="BJ304" s="154"/>
      <c r="BK304" s="154"/>
      <c r="BL304" s="154"/>
      <c r="BM304" s="154"/>
      <c r="BN304" s="154"/>
      <c r="BO304" s="154"/>
      <c r="BP304" s="154"/>
      <c r="BQ304" s="154"/>
      <c r="BR304" s="154"/>
      <c r="BS304" s="154"/>
      <c r="BT304" s="154"/>
      <c r="BU304" s="154"/>
      <c r="BV304" s="154"/>
      <c r="BW304" s="154"/>
      <c r="BX304" s="154"/>
      <c r="BY304" s="154"/>
      <c r="BZ304" s="154"/>
      <c r="CA304" s="154"/>
      <c r="CB304" s="154"/>
      <c r="CC304" s="154"/>
      <c r="CD304" s="154"/>
      <c r="CE304" s="154"/>
      <c r="CF304" s="154"/>
      <c r="CG304" s="154"/>
      <c r="CH304" s="154"/>
      <c r="CI304" s="154"/>
      <c r="CJ304" s="154"/>
      <c r="CK304" s="154"/>
      <c r="CL304" s="154"/>
      <c r="CM304" s="154"/>
      <c r="CN304" s="154"/>
      <c r="CO304" s="154"/>
      <c r="CP304" s="154"/>
      <c r="CQ304" s="154"/>
      <c r="CR304" s="154"/>
      <c r="CS304" s="154"/>
      <c r="CT304" s="154"/>
      <c r="CU304" s="154"/>
      <c r="CV304" s="154"/>
      <c r="CW304" s="154"/>
      <c r="CX304" s="154"/>
      <c r="CY304" s="154"/>
      <c r="CZ304" s="154"/>
      <c r="DA304" s="154"/>
      <c r="DB304" s="154"/>
      <c r="DC304" s="154"/>
      <c r="DD304" s="154"/>
      <c r="DE304" s="154"/>
      <c r="DF304" s="154"/>
      <c r="DG304" s="154"/>
      <c r="DH304" s="154"/>
      <c r="DI304" s="154"/>
      <c r="DJ304" s="154"/>
      <c r="DK304" s="154"/>
      <c r="DL304" s="154"/>
      <c r="DM304" s="154"/>
      <c r="DN304" s="154"/>
      <c r="DO304" s="154"/>
      <c r="DP304" s="154"/>
      <c r="DQ304" s="154"/>
      <c r="DR304" s="154"/>
      <c r="DS304" s="154"/>
      <c r="DT304" s="154"/>
      <c r="DU304" s="154"/>
      <c r="DV304" s="154"/>
      <c r="DW304" s="154"/>
      <c r="DX304" s="154"/>
      <c r="DY304" s="154"/>
      <c r="DZ304" s="154"/>
      <c r="EA304" s="154"/>
      <c r="EB304" s="154"/>
      <c r="EC304" s="154"/>
      <c r="ED304" s="154"/>
      <c r="EE304" s="154"/>
      <c r="EF304" s="154"/>
      <c r="EG304" s="154"/>
      <c r="EH304" s="154"/>
      <c r="EI304" s="154"/>
      <c r="EJ304" s="154"/>
      <c r="EK304" s="154"/>
      <c r="EL304" s="154"/>
      <c r="EM304" s="154"/>
      <c r="EN304" s="154"/>
      <c r="EO304" s="154"/>
      <c r="EP304" s="154"/>
      <c r="EQ304" s="154"/>
      <c r="ER304" s="154"/>
      <c r="ES304" s="154"/>
      <c r="ET304" s="154"/>
      <c r="EU304" s="154"/>
      <c r="EV304" s="154"/>
      <c r="EW304" s="154"/>
      <c r="EX304" s="154"/>
      <c r="EY304" s="154"/>
      <c r="EZ304" s="154"/>
      <c r="FA304" s="154"/>
      <c r="FB304" s="154"/>
      <c r="FC304" s="154"/>
      <c r="FD304" s="154"/>
      <c r="FE304" s="154"/>
      <c r="FF304" s="154"/>
      <c r="FG304" s="154"/>
      <c r="FH304" s="154"/>
      <c r="FI304" s="154"/>
      <c r="FJ304" s="154"/>
      <c r="FK304" s="154"/>
      <c r="FL304" s="154"/>
      <c r="FM304" s="154"/>
      <c r="FN304" s="154"/>
      <c r="FO304" s="154"/>
      <c r="FP304" s="154"/>
      <c r="FQ304" s="154"/>
      <c r="FR304" s="154"/>
      <c r="FS304" s="154"/>
      <c r="FT304" s="154"/>
      <c r="FU304" s="154"/>
      <c r="FV304" s="154"/>
      <c r="FW304" s="154"/>
      <c r="FX304" s="154"/>
      <c r="FY304" s="154"/>
      <c r="FZ304" s="154"/>
      <c r="GA304" s="154"/>
      <c r="GB304" s="154"/>
      <c r="GC304" s="154"/>
      <c r="GD304" s="154"/>
      <c r="GE304" s="154"/>
      <c r="GF304" s="154"/>
      <c r="GG304" s="154"/>
      <c r="GH304" s="154"/>
      <c r="GI304" s="154"/>
      <c r="GJ304" s="154"/>
      <c r="GK304" s="154"/>
      <c r="GL304" s="154"/>
      <c r="GM304" s="154"/>
      <c r="GN304" s="154"/>
      <c r="GO304" s="154"/>
      <c r="GP304" s="154"/>
      <c r="GQ304" s="154"/>
      <c r="GR304" s="154"/>
      <c r="GS304" s="154"/>
      <c r="GT304" s="154"/>
      <c r="GU304" s="154"/>
      <c r="GV304" s="154"/>
      <c r="GW304" s="154"/>
      <c r="GX304" s="154"/>
      <c r="GY304" s="154"/>
      <c r="GZ304" s="154"/>
      <c r="HA304" s="154"/>
      <c r="HB304" s="154"/>
      <c r="HC304" s="154"/>
      <c r="HD304" s="154"/>
      <c r="HE304" s="154"/>
      <c r="HF304" s="154"/>
      <c r="HG304" s="154"/>
      <c r="HH304" s="154"/>
      <c r="HI304" s="154"/>
      <c r="HJ304" s="154"/>
      <c r="HK304" s="154"/>
      <c r="HL304" s="154"/>
      <c r="HM304" s="154"/>
      <c r="HN304" s="154"/>
      <c r="HO304" s="154"/>
      <c r="HP304" s="154"/>
      <c r="HQ304" s="154"/>
      <c r="HR304" s="154"/>
      <c r="HS304" s="154"/>
      <c r="HT304" s="154"/>
      <c r="HU304" s="154"/>
      <c r="HV304" s="154"/>
      <c r="HW304" s="154"/>
      <c r="HX304" s="154"/>
      <c r="HY304" s="154"/>
      <c r="HZ304" s="154"/>
      <c r="IA304" s="154"/>
      <c r="IB304" s="154"/>
      <c r="IC304" s="154"/>
      <c r="ID304" s="154"/>
      <c r="IE304" s="154"/>
      <c r="IF304" s="154"/>
      <c r="IG304" s="154"/>
      <c r="IH304" s="154"/>
      <c r="II304" s="154"/>
      <c r="IJ304" s="154"/>
      <c r="IK304" s="154"/>
      <c r="IL304" s="154"/>
      <c r="IM304" s="154"/>
      <c r="IN304" s="154"/>
      <c r="IO304" s="154"/>
      <c r="IP304" s="154"/>
      <c r="IQ304" s="154"/>
      <c r="IR304" s="154"/>
    </row>
    <row r="305" spans="1:252" s="136" customFormat="1" x14ac:dyDescent="0.2">
      <c r="A305" s="213" t="s">
        <v>173</v>
      </c>
      <c r="B305" s="730">
        <f>'gadu šķirošana'!C67</f>
        <v>0</v>
      </c>
      <c r="C305" s="730">
        <f>'gadu šķirošana'!D67</f>
        <v>50000</v>
      </c>
      <c r="D305" s="730">
        <f>'gadu šķirošana'!E67</f>
        <v>0</v>
      </c>
      <c r="E305" s="730">
        <f>'gadu šķirošana'!F67</f>
        <v>0</v>
      </c>
      <c r="F305" s="730">
        <f>'gadu šķirošana'!G67</f>
        <v>0</v>
      </c>
      <c r="G305" s="730">
        <f>'gadu šķirošana'!H67</f>
        <v>0</v>
      </c>
      <c r="H305" s="730">
        <f>'gadu šķirošana'!I67</f>
        <v>0</v>
      </c>
      <c r="I305" s="730">
        <f>'gadu šķirošana'!J67</f>
        <v>0</v>
      </c>
      <c r="J305" s="730">
        <f>'gadu šķirošana'!K67</f>
        <v>0</v>
      </c>
      <c r="K305" s="730">
        <f>'gadu šķirošana'!L67</f>
        <v>0</v>
      </c>
      <c r="L305" s="730">
        <f>'gadu šķirošana'!M67</f>
        <v>0</v>
      </c>
      <c r="M305" s="730">
        <f>'gadu šķirošana'!N67</f>
        <v>0</v>
      </c>
      <c r="N305" s="730">
        <f>'gadu šķirošana'!O67</f>
        <v>0</v>
      </c>
      <c r="O305" s="730">
        <f>'gadu šķirošana'!P67</f>
        <v>0</v>
      </c>
      <c r="P305" s="730">
        <f>'gadu šķirošana'!Q67</f>
        <v>0</v>
      </c>
      <c r="Q305" s="730">
        <f>'gadu šķirošana'!R67</f>
        <v>0</v>
      </c>
      <c r="R305" s="730">
        <f>'gadu šķirošana'!S67</f>
        <v>0</v>
      </c>
      <c r="S305" s="730">
        <f>'gadu šķirošana'!T67</f>
        <v>0</v>
      </c>
      <c r="T305" s="730">
        <f>'gadu šķirošana'!U67</f>
        <v>0</v>
      </c>
      <c r="U305" s="730">
        <f>'gadu šķirošana'!V67</f>
        <v>0</v>
      </c>
      <c r="V305" s="730">
        <f>'gadu šķirošana'!W67</f>
        <v>0</v>
      </c>
      <c r="W305" s="730">
        <f>'gadu šķirošana'!X67</f>
        <v>0</v>
      </c>
      <c r="X305" s="730">
        <f>'gadu šķirošana'!Y67</f>
        <v>0</v>
      </c>
      <c r="Y305" s="730">
        <f>'gadu šķirošana'!Z67</f>
        <v>0</v>
      </c>
      <c r="Z305" s="730">
        <f>'gadu šķirošana'!AA67</f>
        <v>0</v>
      </c>
      <c r="AA305" s="730">
        <f>'gadu šķirošana'!AB67</f>
        <v>0</v>
      </c>
      <c r="AB305" s="730">
        <f>'gadu šķirošana'!AC67</f>
        <v>0</v>
      </c>
      <c r="AC305" s="730">
        <f>'gadu šķirošana'!AD67</f>
        <v>0</v>
      </c>
      <c r="AD305" s="730">
        <f>'gadu šķirošana'!AE67</f>
        <v>0</v>
      </c>
      <c r="AE305" s="730">
        <f>'gadu šķirošana'!AF67</f>
        <v>0</v>
      </c>
      <c r="AF305" s="730">
        <f>'gadu šķirošana'!AG67</f>
        <v>0</v>
      </c>
      <c r="AG305" s="730">
        <f>'gadu šķirošana'!AH67</f>
        <v>0</v>
      </c>
      <c r="AH305" s="730">
        <f>'gadu šķirošana'!AI67</f>
        <v>0</v>
      </c>
      <c r="AI305" s="730">
        <f>'gadu šķirošana'!AJ67</f>
        <v>0</v>
      </c>
      <c r="AJ305" s="154"/>
      <c r="AK305" s="154"/>
      <c r="AL305" s="113"/>
      <c r="AM305" s="154"/>
      <c r="AN305" s="133"/>
      <c r="AO305" s="112"/>
      <c r="AP305" s="133"/>
      <c r="AQ305" s="112"/>
      <c r="AR305" s="133"/>
      <c r="AS305" s="154"/>
      <c r="AT305" s="154"/>
      <c r="AU305" s="154"/>
      <c r="AV305" s="154"/>
      <c r="AW305" s="154"/>
      <c r="AX305" s="154"/>
      <c r="AY305" s="154"/>
      <c r="AZ305" s="154"/>
      <c r="BA305" s="154"/>
      <c r="BB305" s="154"/>
      <c r="BC305" s="154"/>
      <c r="BD305" s="154"/>
      <c r="BE305" s="154"/>
      <c r="BF305" s="154"/>
      <c r="BG305" s="154"/>
      <c r="BH305" s="154"/>
      <c r="BI305" s="154"/>
      <c r="BJ305" s="154"/>
      <c r="BK305" s="154"/>
      <c r="BL305" s="154"/>
      <c r="BM305" s="154"/>
      <c r="BN305" s="154"/>
      <c r="BO305" s="154"/>
      <c r="BP305" s="154"/>
      <c r="BQ305" s="154"/>
      <c r="BR305" s="154"/>
      <c r="BS305" s="154"/>
      <c r="BT305" s="154"/>
      <c r="BU305" s="154"/>
      <c r="BV305" s="154"/>
      <c r="BW305" s="154"/>
      <c r="BX305" s="154"/>
      <c r="BY305" s="154"/>
      <c r="BZ305" s="154"/>
      <c r="CA305" s="154"/>
      <c r="CB305" s="154"/>
      <c r="CC305" s="154"/>
      <c r="CD305" s="154"/>
      <c r="CE305" s="154"/>
      <c r="CF305" s="154"/>
      <c r="CG305" s="154"/>
      <c r="CH305" s="154"/>
      <c r="CI305" s="154"/>
      <c r="CJ305" s="154"/>
      <c r="CK305" s="154"/>
      <c r="CL305" s="154"/>
      <c r="CM305" s="154"/>
      <c r="CN305" s="154"/>
      <c r="CO305" s="154"/>
      <c r="CP305" s="154"/>
      <c r="CQ305" s="154"/>
      <c r="CR305" s="154"/>
      <c r="CS305" s="154"/>
      <c r="CT305" s="154"/>
      <c r="CU305" s="154"/>
      <c r="CV305" s="154"/>
      <c r="CW305" s="154"/>
      <c r="CX305" s="154"/>
      <c r="CY305" s="154"/>
      <c r="CZ305" s="154"/>
      <c r="DA305" s="154"/>
      <c r="DB305" s="154"/>
      <c r="DC305" s="154"/>
      <c r="DD305" s="154"/>
      <c r="DE305" s="154"/>
      <c r="DF305" s="154"/>
      <c r="DG305" s="154"/>
      <c r="DH305" s="154"/>
      <c r="DI305" s="154"/>
      <c r="DJ305" s="154"/>
      <c r="DK305" s="154"/>
      <c r="DL305" s="154"/>
      <c r="DM305" s="154"/>
      <c r="DN305" s="154"/>
      <c r="DO305" s="154"/>
      <c r="DP305" s="154"/>
      <c r="DQ305" s="154"/>
      <c r="DR305" s="154"/>
      <c r="DS305" s="154"/>
      <c r="DT305" s="154"/>
      <c r="DU305" s="154"/>
      <c r="DV305" s="154"/>
      <c r="DW305" s="154"/>
      <c r="DX305" s="154"/>
      <c r="DY305" s="154"/>
      <c r="DZ305" s="154"/>
      <c r="EA305" s="154"/>
      <c r="EB305" s="154"/>
      <c r="EC305" s="154"/>
      <c r="ED305" s="154"/>
      <c r="EE305" s="154"/>
      <c r="EF305" s="154"/>
      <c r="EG305" s="154"/>
      <c r="EH305" s="154"/>
      <c r="EI305" s="154"/>
      <c r="EJ305" s="154"/>
      <c r="EK305" s="154"/>
      <c r="EL305" s="154"/>
      <c r="EM305" s="154"/>
      <c r="EN305" s="154"/>
      <c r="EO305" s="154"/>
      <c r="EP305" s="154"/>
      <c r="EQ305" s="154"/>
      <c r="ER305" s="154"/>
      <c r="ES305" s="154"/>
      <c r="ET305" s="154"/>
      <c r="EU305" s="154"/>
      <c r="EV305" s="154"/>
      <c r="EW305" s="154"/>
      <c r="EX305" s="154"/>
      <c r="EY305" s="154"/>
      <c r="EZ305" s="154"/>
      <c r="FA305" s="154"/>
      <c r="FB305" s="154"/>
      <c r="FC305" s="154"/>
      <c r="FD305" s="154"/>
      <c r="FE305" s="154"/>
      <c r="FF305" s="154"/>
      <c r="FG305" s="154"/>
      <c r="FH305" s="154"/>
      <c r="FI305" s="154"/>
      <c r="FJ305" s="154"/>
      <c r="FK305" s="154"/>
      <c r="FL305" s="154"/>
      <c r="FM305" s="154"/>
      <c r="FN305" s="154"/>
      <c r="FO305" s="154"/>
      <c r="FP305" s="154"/>
      <c r="FQ305" s="154"/>
      <c r="FR305" s="154"/>
      <c r="FS305" s="154"/>
      <c r="FT305" s="154"/>
      <c r="FU305" s="154"/>
      <c r="FV305" s="154"/>
      <c r="FW305" s="154"/>
      <c r="FX305" s="154"/>
      <c r="FY305" s="154"/>
      <c r="FZ305" s="154"/>
      <c r="GA305" s="154"/>
      <c r="GB305" s="154"/>
      <c r="GC305" s="154"/>
      <c r="GD305" s="154"/>
      <c r="GE305" s="154"/>
      <c r="GF305" s="154"/>
      <c r="GG305" s="154"/>
      <c r="GH305" s="154"/>
      <c r="GI305" s="154"/>
      <c r="GJ305" s="154"/>
      <c r="GK305" s="154"/>
      <c r="GL305" s="154"/>
      <c r="GM305" s="154"/>
      <c r="GN305" s="154"/>
      <c r="GO305" s="154"/>
      <c r="GP305" s="154"/>
      <c r="GQ305" s="154"/>
      <c r="GR305" s="154"/>
      <c r="GS305" s="154"/>
      <c r="GT305" s="154"/>
      <c r="GU305" s="154"/>
      <c r="GV305" s="154"/>
      <c r="GW305" s="154"/>
      <c r="GX305" s="154"/>
      <c r="GY305" s="154"/>
      <c r="GZ305" s="154"/>
      <c r="HA305" s="154"/>
      <c r="HB305" s="154"/>
      <c r="HC305" s="154"/>
      <c r="HD305" s="154"/>
      <c r="HE305" s="154"/>
      <c r="HF305" s="154"/>
      <c r="HG305" s="154"/>
      <c r="HH305" s="154"/>
      <c r="HI305" s="154"/>
      <c r="HJ305" s="154"/>
      <c r="HK305" s="154"/>
      <c r="HL305" s="154"/>
      <c r="HM305" s="154"/>
      <c r="HN305" s="154"/>
      <c r="HO305" s="154"/>
      <c r="HP305" s="154"/>
      <c r="HQ305" s="154"/>
      <c r="HR305" s="154"/>
      <c r="HS305" s="154"/>
      <c r="HT305" s="154"/>
      <c r="HU305" s="154"/>
      <c r="HV305" s="154"/>
      <c r="HW305" s="154"/>
      <c r="HX305" s="154"/>
      <c r="HY305" s="154"/>
      <c r="HZ305" s="154"/>
      <c r="IA305" s="154"/>
      <c r="IB305" s="154"/>
      <c r="IC305" s="154"/>
      <c r="ID305" s="154"/>
      <c r="IE305" s="154"/>
      <c r="IF305" s="154"/>
      <c r="IG305" s="154"/>
      <c r="IH305" s="154"/>
      <c r="II305" s="154"/>
      <c r="IJ305" s="154"/>
      <c r="IK305" s="154"/>
      <c r="IL305" s="154"/>
      <c r="IM305" s="154"/>
      <c r="IN305" s="154"/>
      <c r="IO305" s="154"/>
      <c r="IP305" s="154"/>
      <c r="IQ305" s="154"/>
      <c r="IR305" s="154"/>
    </row>
    <row r="306" spans="1:252" s="136" customFormat="1" x14ac:dyDescent="0.2">
      <c r="A306" s="227" t="s">
        <v>174</v>
      </c>
      <c r="B306" s="711">
        <f t="shared" ref="B306:AG306" si="801">SUM(B307:B308)</f>
        <v>0</v>
      </c>
      <c r="C306" s="711">
        <f t="shared" si="801"/>
        <v>0</v>
      </c>
      <c r="D306" s="711">
        <f t="shared" si="801"/>
        <v>2000</v>
      </c>
      <c r="E306" s="711">
        <f t="shared" si="801"/>
        <v>7000</v>
      </c>
      <c r="F306" s="711">
        <f t="shared" si="801"/>
        <v>6800</v>
      </c>
      <c r="G306" s="711">
        <f t="shared" si="801"/>
        <v>6600</v>
      </c>
      <c r="H306" s="711">
        <f t="shared" si="801"/>
        <v>6400</v>
      </c>
      <c r="I306" s="711">
        <f t="shared" si="801"/>
        <v>6200</v>
      </c>
      <c r="J306" s="711">
        <f t="shared" si="801"/>
        <v>6000</v>
      </c>
      <c r="K306" s="711">
        <f t="shared" si="801"/>
        <v>5800</v>
      </c>
      <c r="L306" s="711">
        <f t="shared" si="801"/>
        <v>5600</v>
      </c>
      <c r="M306" s="711">
        <f t="shared" si="801"/>
        <v>5400</v>
      </c>
      <c r="N306" s="711">
        <f t="shared" si="801"/>
        <v>5200</v>
      </c>
      <c r="O306" s="711">
        <f t="shared" si="801"/>
        <v>0</v>
      </c>
      <c r="P306" s="711">
        <f t="shared" si="801"/>
        <v>0</v>
      </c>
      <c r="Q306" s="711">
        <f t="shared" si="801"/>
        <v>0</v>
      </c>
      <c r="R306" s="711">
        <f t="shared" si="801"/>
        <v>0</v>
      </c>
      <c r="S306" s="711">
        <f t="shared" si="801"/>
        <v>0</v>
      </c>
      <c r="T306" s="711">
        <f t="shared" si="801"/>
        <v>0</v>
      </c>
      <c r="U306" s="711">
        <f t="shared" si="801"/>
        <v>0</v>
      </c>
      <c r="V306" s="711">
        <f t="shared" si="801"/>
        <v>0</v>
      </c>
      <c r="W306" s="711">
        <f t="shared" si="801"/>
        <v>0</v>
      </c>
      <c r="X306" s="711">
        <f t="shared" si="801"/>
        <v>0</v>
      </c>
      <c r="Y306" s="711">
        <f t="shared" si="801"/>
        <v>0</v>
      </c>
      <c r="Z306" s="711">
        <f t="shared" si="801"/>
        <v>0</v>
      </c>
      <c r="AA306" s="711">
        <f t="shared" si="801"/>
        <v>0</v>
      </c>
      <c r="AB306" s="711">
        <f t="shared" si="801"/>
        <v>0</v>
      </c>
      <c r="AC306" s="711">
        <f t="shared" si="801"/>
        <v>0</v>
      </c>
      <c r="AD306" s="711">
        <f t="shared" si="801"/>
        <v>0</v>
      </c>
      <c r="AE306" s="711">
        <f t="shared" si="801"/>
        <v>0</v>
      </c>
      <c r="AF306" s="711">
        <f t="shared" si="801"/>
        <v>0</v>
      </c>
      <c r="AG306" s="711">
        <f t="shared" si="801"/>
        <v>0</v>
      </c>
      <c r="AH306" s="711">
        <f>SUM(AH307:AH308)</f>
        <v>0</v>
      </c>
      <c r="AI306" s="711">
        <f>SUM(AI307:AI308)</f>
        <v>0</v>
      </c>
      <c r="AJ306" s="154"/>
      <c r="AK306" s="154"/>
      <c r="AL306" s="113"/>
      <c r="AM306" s="154"/>
      <c r="AN306" s="133"/>
      <c r="AO306" s="112"/>
      <c r="AP306" s="133"/>
      <c r="AQ306" s="112"/>
      <c r="AR306" s="133"/>
      <c r="AS306" s="154"/>
      <c r="AT306" s="154"/>
      <c r="AU306" s="154"/>
      <c r="AV306" s="154"/>
      <c r="AW306" s="154"/>
      <c r="AX306" s="154"/>
      <c r="AY306" s="154"/>
      <c r="AZ306" s="154"/>
      <c r="BA306" s="154"/>
      <c r="BB306" s="154"/>
      <c r="BC306" s="154"/>
      <c r="BD306" s="154"/>
      <c r="BE306" s="154"/>
      <c r="BF306" s="154"/>
      <c r="BG306" s="154"/>
      <c r="BH306" s="154"/>
      <c r="BI306" s="154"/>
      <c r="BJ306" s="154"/>
      <c r="BK306" s="154"/>
      <c r="BL306" s="154"/>
      <c r="BM306" s="154"/>
      <c r="BN306" s="154"/>
      <c r="BO306" s="154"/>
      <c r="BP306" s="154"/>
      <c r="BQ306" s="154"/>
      <c r="BR306" s="154"/>
      <c r="BS306" s="154"/>
      <c r="BT306" s="154"/>
      <c r="BU306" s="154"/>
      <c r="BV306" s="154"/>
      <c r="BW306" s="154"/>
      <c r="BX306" s="154"/>
      <c r="BY306" s="154"/>
      <c r="BZ306" s="154"/>
      <c r="CA306" s="154"/>
      <c r="CB306" s="154"/>
      <c r="CC306" s="154"/>
      <c r="CD306" s="154"/>
      <c r="CE306" s="154"/>
      <c r="CF306" s="154"/>
      <c r="CG306" s="154"/>
      <c r="CH306" s="154"/>
      <c r="CI306" s="154"/>
      <c r="CJ306" s="154"/>
      <c r="CK306" s="154"/>
      <c r="CL306" s="154"/>
      <c r="CM306" s="154"/>
      <c r="CN306" s="154"/>
      <c r="CO306" s="154"/>
      <c r="CP306" s="154"/>
      <c r="CQ306" s="154"/>
      <c r="CR306" s="154"/>
      <c r="CS306" s="154"/>
      <c r="CT306" s="154"/>
      <c r="CU306" s="154"/>
      <c r="CV306" s="154"/>
      <c r="CW306" s="154"/>
      <c r="CX306" s="154"/>
      <c r="CY306" s="154"/>
      <c r="CZ306" s="154"/>
      <c r="DA306" s="154"/>
      <c r="DB306" s="154"/>
      <c r="DC306" s="154"/>
      <c r="DD306" s="154"/>
      <c r="DE306" s="154"/>
      <c r="DF306" s="154"/>
      <c r="DG306" s="154"/>
      <c r="DH306" s="154"/>
      <c r="DI306" s="154"/>
      <c r="DJ306" s="154"/>
      <c r="DK306" s="154"/>
      <c r="DL306" s="154"/>
      <c r="DM306" s="154"/>
      <c r="DN306" s="154"/>
      <c r="DO306" s="154"/>
      <c r="DP306" s="154"/>
      <c r="DQ306" s="154"/>
      <c r="DR306" s="154"/>
      <c r="DS306" s="154"/>
      <c r="DT306" s="154"/>
      <c r="DU306" s="154"/>
      <c r="DV306" s="154"/>
      <c r="DW306" s="154"/>
      <c r="DX306" s="154"/>
      <c r="DY306" s="154"/>
      <c r="DZ306" s="154"/>
      <c r="EA306" s="154"/>
      <c r="EB306" s="154"/>
      <c r="EC306" s="154"/>
      <c r="ED306" s="154"/>
      <c r="EE306" s="154"/>
      <c r="EF306" s="154"/>
      <c r="EG306" s="154"/>
      <c r="EH306" s="154"/>
      <c r="EI306" s="154"/>
      <c r="EJ306" s="154"/>
      <c r="EK306" s="154"/>
      <c r="EL306" s="154"/>
      <c r="EM306" s="154"/>
      <c r="EN306" s="154"/>
      <c r="EO306" s="154"/>
      <c r="EP306" s="154"/>
      <c r="EQ306" s="154"/>
      <c r="ER306" s="154"/>
      <c r="ES306" s="154"/>
      <c r="ET306" s="154"/>
      <c r="EU306" s="154"/>
      <c r="EV306" s="154"/>
      <c r="EW306" s="154"/>
      <c r="EX306" s="154"/>
      <c r="EY306" s="154"/>
      <c r="EZ306" s="154"/>
      <c r="FA306" s="154"/>
      <c r="FB306" s="154"/>
      <c r="FC306" s="154"/>
      <c r="FD306" s="154"/>
      <c r="FE306" s="154"/>
      <c r="FF306" s="154"/>
      <c r="FG306" s="154"/>
      <c r="FH306" s="154"/>
      <c r="FI306" s="154"/>
      <c r="FJ306" s="154"/>
      <c r="FK306" s="154"/>
      <c r="FL306" s="154"/>
      <c r="FM306" s="154"/>
      <c r="FN306" s="154"/>
      <c r="FO306" s="154"/>
      <c r="FP306" s="154"/>
      <c r="FQ306" s="154"/>
      <c r="FR306" s="154"/>
      <c r="FS306" s="154"/>
      <c r="FT306" s="154"/>
      <c r="FU306" s="154"/>
      <c r="FV306" s="154"/>
      <c r="FW306" s="154"/>
      <c r="FX306" s="154"/>
      <c r="FY306" s="154"/>
      <c r="FZ306" s="154"/>
      <c r="GA306" s="154"/>
      <c r="GB306" s="154"/>
      <c r="GC306" s="154"/>
      <c r="GD306" s="154"/>
      <c r="GE306" s="154"/>
      <c r="GF306" s="154"/>
      <c r="GG306" s="154"/>
      <c r="GH306" s="154"/>
      <c r="GI306" s="154"/>
      <c r="GJ306" s="154"/>
      <c r="GK306" s="154"/>
      <c r="GL306" s="154"/>
      <c r="GM306" s="154"/>
      <c r="GN306" s="154"/>
      <c r="GO306" s="154"/>
      <c r="GP306" s="154"/>
      <c r="GQ306" s="154"/>
      <c r="GR306" s="154"/>
      <c r="GS306" s="154"/>
      <c r="GT306" s="154"/>
      <c r="GU306" s="154"/>
      <c r="GV306" s="154"/>
      <c r="GW306" s="154"/>
      <c r="GX306" s="154"/>
      <c r="GY306" s="154"/>
      <c r="GZ306" s="154"/>
      <c r="HA306" s="154"/>
      <c r="HB306" s="154"/>
      <c r="HC306" s="154"/>
      <c r="HD306" s="154"/>
      <c r="HE306" s="154"/>
      <c r="HF306" s="154"/>
      <c r="HG306" s="154"/>
      <c r="HH306" s="154"/>
      <c r="HI306" s="154"/>
      <c r="HJ306" s="154"/>
      <c r="HK306" s="154"/>
      <c r="HL306" s="154"/>
      <c r="HM306" s="154"/>
      <c r="HN306" s="154"/>
      <c r="HO306" s="154"/>
      <c r="HP306" s="154"/>
      <c r="HQ306" s="154"/>
      <c r="HR306" s="154"/>
      <c r="HS306" s="154"/>
      <c r="HT306" s="154"/>
      <c r="HU306" s="154"/>
      <c r="HV306" s="154"/>
      <c r="HW306" s="154"/>
      <c r="HX306" s="154"/>
      <c r="HY306" s="154"/>
      <c r="HZ306" s="154"/>
      <c r="IA306" s="154"/>
      <c r="IB306" s="154"/>
      <c r="IC306" s="154"/>
      <c r="ID306" s="154"/>
      <c r="IE306" s="154"/>
      <c r="IF306" s="154"/>
      <c r="IG306" s="154"/>
      <c r="IH306" s="154"/>
      <c r="II306" s="154"/>
      <c r="IJ306" s="154"/>
      <c r="IK306" s="154"/>
      <c r="IL306" s="154"/>
      <c r="IM306" s="154"/>
      <c r="IN306" s="154"/>
      <c r="IO306" s="154"/>
      <c r="IP306" s="154"/>
      <c r="IQ306" s="154"/>
      <c r="IR306" s="154"/>
    </row>
    <row r="307" spans="1:252" s="136" customFormat="1" x14ac:dyDescent="0.2">
      <c r="A307" s="213" t="s">
        <v>175</v>
      </c>
      <c r="B307" s="730">
        <f>B309*$B$304</f>
        <v>0</v>
      </c>
      <c r="C307" s="730">
        <f>B309*$B$304</f>
        <v>0</v>
      </c>
      <c r="D307" s="730">
        <f t="shared" ref="D307:AG307" si="802">C309*$B$304</f>
        <v>2000</v>
      </c>
      <c r="E307" s="730">
        <f t="shared" si="802"/>
        <v>2000</v>
      </c>
      <c r="F307" s="730">
        <f t="shared" si="802"/>
        <v>1800</v>
      </c>
      <c r="G307" s="730">
        <f t="shared" si="802"/>
        <v>1600</v>
      </c>
      <c r="H307" s="730">
        <f t="shared" si="802"/>
        <v>1400</v>
      </c>
      <c r="I307" s="730">
        <f t="shared" si="802"/>
        <v>1200</v>
      </c>
      <c r="J307" s="730">
        <f t="shared" si="802"/>
        <v>1000</v>
      </c>
      <c r="K307" s="730">
        <f t="shared" si="802"/>
        <v>800</v>
      </c>
      <c r="L307" s="730">
        <f t="shared" si="802"/>
        <v>600</v>
      </c>
      <c r="M307" s="730">
        <f t="shared" si="802"/>
        <v>400</v>
      </c>
      <c r="N307" s="730">
        <f t="shared" si="802"/>
        <v>200</v>
      </c>
      <c r="O307" s="730">
        <f t="shared" si="802"/>
        <v>0</v>
      </c>
      <c r="P307" s="730">
        <f t="shared" si="802"/>
        <v>0</v>
      </c>
      <c r="Q307" s="730">
        <f t="shared" si="802"/>
        <v>0</v>
      </c>
      <c r="R307" s="730">
        <f t="shared" si="802"/>
        <v>0</v>
      </c>
      <c r="S307" s="730">
        <f t="shared" si="802"/>
        <v>0</v>
      </c>
      <c r="T307" s="730">
        <f t="shared" si="802"/>
        <v>0</v>
      </c>
      <c r="U307" s="730">
        <f t="shared" si="802"/>
        <v>0</v>
      </c>
      <c r="V307" s="730">
        <f t="shared" si="802"/>
        <v>0</v>
      </c>
      <c r="W307" s="730">
        <f t="shared" si="802"/>
        <v>0</v>
      </c>
      <c r="X307" s="730">
        <f t="shared" si="802"/>
        <v>0</v>
      </c>
      <c r="Y307" s="730">
        <f t="shared" si="802"/>
        <v>0</v>
      </c>
      <c r="Z307" s="730">
        <f t="shared" si="802"/>
        <v>0</v>
      </c>
      <c r="AA307" s="730">
        <f t="shared" si="802"/>
        <v>0</v>
      </c>
      <c r="AB307" s="730">
        <f t="shared" si="802"/>
        <v>0</v>
      </c>
      <c r="AC307" s="730">
        <f t="shared" si="802"/>
        <v>0</v>
      </c>
      <c r="AD307" s="730">
        <f t="shared" si="802"/>
        <v>0</v>
      </c>
      <c r="AE307" s="730">
        <f t="shared" si="802"/>
        <v>0</v>
      </c>
      <c r="AF307" s="730">
        <f t="shared" si="802"/>
        <v>0</v>
      </c>
      <c r="AG307" s="730">
        <f t="shared" si="802"/>
        <v>0</v>
      </c>
      <c r="AH307" s="730">
        <f>AG309*$B$304</f>
        <v>0</v>
      </c>
      <c r="AI307" s="730">
        <f>AH309*$B$304</f>
        <v>0</v>
      </c>
      <c r="AJ307" s="154"/>
      <c r="AK307" s="154"/>
      <c r="AL307" s="113"/>
      <c r="AM307" s="154"/>
      <c r="AN307" s="133"/>
      <c r="AO307" s="112"/>
      <c r="AP307" s="133"/>
      <c r="AQ307" s="112"/>
      <c r="AR307" s="133"/>
      <c r="AS307" s="154"/>
      <c r="AT307" s="154"/>
      <c r="AU307" s="154"/>
      <c r="AV307" s="154"/>
      <c r="AW307" s="154"/>
      <c r="AX307" s="154"/>
      <c r="AY307" s="154"/>
      <c r="AZ307" s="154"/>
      <c r="BA307" s="154"/>
      <c r="BB307" s="154"/>
      <c r="BC307" s="154"/>
      <c r="BD307" s="154"/>
      <c r="BE307" s="154"/>
      <c r="BF307" s="154"/>
      <c r="BG307" s="154"/>
      <c r="BH307" s="154"/>
      <c r="BI307" s="154"/>
      <c r="BJ307" s="154"/>
      <c r="BK307" s="154"/>
      <c r="BL307" s="154"/>
      <c r="BM307" s="154"/>
      <c r="BN307" s="154"/>
      <c r="BO307" s="154"/>
      <c r="BP307" s="154"/>
      <c r="BQ307" s="154"/>
      <c r="BR307" s="154"/>
      <c r="BS307" s="154"/>
      <c r="BT307" s="154"/>
      <c r="BU307" s="154"/>
      <c r="BV307" s="154"/>
      <c r="BW307" s="154"/>
      <c r="BX307" s="154"/>
      <c r="BY307" s="154"/>
      <c r="BZ307" s="154"/>
      <c r="CA307" s="154"/>
      <c r="CB307" s="154"/>
      <c r="CC307" s="154"/>
      <c r="CD307" s="154"/>
      <c r="CE307" s="154"/>
      <c r="CF307" s="154"/>
      <c r="CG307" s="154"/>
      <c r="CH307" s="154"/>
      <c r="CI307" s="154"/>
      <c r="CJ307" s="154"/>
      <c r="CK307" s="154"/>
      <c r="CL307" s="154"/>
      <c r="CM307" s="154"/>
      <c r="CN307" s="154"/>
      <c r="CO307" s="154"/>
      <c r="CP307" s="154"/>
      <c r="CQ307" s="154"/>
      <c r="CR307" s="154"/>
      <c r="CS307" s="154"/>
      <c r="CT307" s="154"/>
      <c r="CU307" s="154"/>
      <c r="CV307" s="154"/>
      <c r="CW307" s="154"/>
      <c r="CX307" s="154"/>
      <c r="CY307" s="154"/>
      <c r="CZ307" s="154"/>
      <c r="DA307" s="154"/>
      <c r="DB307" s="154"/>
      <c r="DC307" s="154"/>
      <c r="DD307" s="154"/>
      <c r="DE307" s="154"/>
      <c r="DF307" s="154"/>
      <c r="DG307" s="154"/>
      <c r="DH307" s="154"/>
      <c r="DI307" s="154"/>
      <c r="DJ307" s="154"/>
      <c r="DK307" s="154"/>
      <c r="DL307" s="154"/>
      <c r="DM307" s="154"/>
      <c r="DN307" s="154"/>
      <c r="DO307" s="154"/>
      <c r="DP307" s="154"/>
      <c r="DQ307" s="154"/>
      <c r="DR307" s="154"/>
      <c r="DS307" s="154"/>
      <c r="DT307" s="154"/>
      <c r="DU307" s="154"/>
      <c r="DV307" s="154"/>
      <c r="DW307" s="154"/>
      <c r="DX307" s="154"/>
      <c r="DY307" s="154"/>
      <c r="DZ307" s="154"/>
      <c r="EA307" s="154"/>
      <c r="EB307" s="154"/>
      <c r="EC307" s="154"/>
      <c r="ED307" s="154"/>
      <c r="EE307" s="154"/>
      <c r="EF307" s="154"/>
      <c r="EG307" s="154"/>
      <c r="EH307" s="154"/>
      <c r="EI307" s="154"/>
      <c r="EJ307" s="154"/>
      <c r="EK307" s="154"/>
      <c r="EL307" s="154"/>
      <c r="EM307" s="154"/>
      <c r="EN307" s="154"/>
      <c r="EO307" s="154"/>
      <c r="EP307" s="154"/>
      <c r="EQ307" s="154"/>
      <c r="ER307" s="154"/>
      <c r="ES307" s="154"/>
      <c r="ET307" s="154"/>
      <c r="EU307" s="154"/>
      <c r="EV307" s="154"/>
      <c r="EW307" s="154"/>
      <c r="EX307" s="154"/>
      <c r="EY307" s="154"/>
      <c r="EZ307" s="154"/>
      <c r="FA307" s="154"/>
      <c r="FB307" s="154"/>
      <c r="FC307" s="154"/>
      <c r="FD307" s="154"/>
      <c r="FE307" s="154"/>
      <c r="FF307" s="154"/>
      <c r="FG307" s="154"/>
      <c r="FH307" s="154"/>
      <c r="FI307" s="154"/>
      <c r="FJ307" s="154"/>
      <c r="FK307" s="154"/>
      <c r="FL307" s="154"/>
      <c r="FM307" s="154"/>
      <c r="FN307" s="154"/>
      <c r="FO307" s="154"/>
      <c r="FP307" s="154"/>
      <c r="FQ307" s="154"/>
      <c r="FR307" s="154"/>
      <c r="FS307" s="154"/>
      <c r="FT307" s="154"/>
      <c r="FU307" s="154"/>
      <c r="FV307" s="154"/>
      <c r="FW307" s="154"/>
      <c r="FX307" s="154"/>
      <c r="FY307" s="154"/>
      <c r="FZ307" s="154"/>
      <c r="GA307" s="154"/>
      <c r="GB307" s="154"/>
      <c r="GC307" s="154"/>
      <c r="GD307" s="154"/>
      <c r="GE307" s="154"/>
      <c r="GF307" s="154"/>
      <c r="GG307" s="154"/>
      <c r="GH307" s="154"/>
      <c r="GI307" s="154"/>
      <c r="GJ307" s="154"/>
      <c r="GK307" s="154"/>
      <c r="GL307" s="154"/>
      <c r="GM307" s="154"/>
      <c r="GN307" s="154"/>
      <c r="GO307" s="154"/>
      <c r="GP307" s="154"/>
      <c r="GQ307" s="154"/>
      <c r="GR307" s="154"/>
      <c r="GS307" s="154"/>
      <c r="GT307" s="154"/>
      <c r="GU307" s="154"/>
      <c r="GV307" s="154"/>
      <c r="GW307" s="154"/>
      <c r="GX307" s="154"/>
      <c r="GY307" s="154"/>
      <c r="GZ307" s="154"/>
      <c r="HA307" s="154"/>
      <c r="HB307" s="154"/>
      <c r="HC307" s="154"/>
      <c r="HD307" s="154"/>
      <c r="HE307" s="154"/>
      <c r="HF307" s="154"/>
      <c r="HG307" s="154"/>
      <c r="HH307" s="154"/>
      <c r="HI307" s="154"/>
      <c r="HJ307" s="154"/>
      <c r="HK307" s="154"/>
      <c r="HL307" s="154"/>
      <c r="HM307" s="154"/>
      <c r="HN307" s="154"/>
      <c r="HO307" s="154"/>
      <c r="HP307" s="154"/>
      <c r="HQ307" s="154"/>
      <c r="HR307" s="154"/>
      <c r="HS307" s="154"/>
      <c r="HT307" s="154"/>
      <c r="HU307" s="154"/>
      <c r="HV307" s="154"/>
      <c r="HW307" s="154"/>
      <c r="HX307" s="154"/>
      <c r="HY307" s="154"/>
      <c r="HZ307" s="154"/>
      <c r="IA307" s="154"/>
      <c r="IB307" s="154"/>
      <c r="IC307" s="154"/>
      <c r="ID307" s="154"/>
      <c r="IE307" s="154"/>
      <c r="IF307" s="154"/>
      <c r="IG307" s="154"/>
      <c r="IH307" s="154"/>
      <c r="II307" s="154"/>
      <c r="IJ307" s="154"/>
      <c r="IK307" s="154"/>
      <c r="IL307" s="154"/>
      <c r="IM307" s="154"/>
      <c r="IN307" s="154"/>
      <c r="IO307" s="154"/>
      <c r="IP307" s="154"/>
      <c r="IQ307" s="154"/>
      <c r="IR307" s="154"/>
    </row>
    <row r="308" spans="1:252" s="136" customFormat="1" x14ac:dyDescent="0.2">
      <c r="A308" s="213" t="s">
        <v>176</v>
      </c>
      <c r="B308" s="730">
        <f>'gadu šķirošana'!C68</f>
        <v>0</v>
      </c>
      <c r="C308" s="730">
        <f>'gadu šķirošana'!D68</f>
        <v>0</v>
      </c>
      <c r="D308" s="730">
        <f>'gadu šķirošana'!E68</f>
        <v>0</v>
      </c>
      <c r="E308" s="730">
        <f>'gadu šķirošana'!F68</f>
        <v>5000</v>
      </c>
      <c r="F308" s="730">
        <f>'gadu šķirošana'!G68</f>
        <v>5000</v>
      </c>
      <c r="G308" s="730">
        <f>'gadu šķirošana'!H68</f>
        <v>5000</v>
      </c>
      <c r="H308" s="730">
        <f>'gadu šķirošana'!I68</f>
        <v>5000</v>
      </c>
      <c r="I308" s="730">
        <f>'gadu šķirošana'!J68</f>
        <v>5000</v>
      </c>
      <c r="J308" s="730">
        <f>'gadu šķirošana'!K68</f>
        <v>5000</v>
      </c>
      <c r="K308" s="730">
        <f>'gadu šķirošana'!L68</f>
        <v>5000</v>
      </c>
      <c r="L308" s="730">
        <f>'gadu šķirošana'!M68</f>
        <v>5000</v>
      </c>
      <c r="M308" s="730">
        <f>'gadu šķirošana'!N68</f>
        <v>5000</v>
      </c>
      <c r="N308" s="730">
        <f>'gadu šķirošana'!O68</f>
        <v>5000</v>
      </c>
      <c r="O308" s="730">
        <f>'gadu šķirošana'!P68</f>
        <v>0</v>
      </c>
      <c r="P308" s="730">
        <f>'gadu šķirošana'!Q68</f>
        <v>0</v>
      </c>
      <c r="Q308" s="730">
        <f>'gadu šķirošana'!R68</f>
        <v>0</v>
      </c>
      <c r="R308" s="730">
        <f>'gadu šķirošana'!S68</f>
        <v>0</v>
      </c>
      <c r="S308" s="730">
        <f>'gadu šķirošana'!T68</f>
        <v>0</v>
      </c>
      <c r="T308" s="730">
        <f>'gadu šķirošana'!U68</f>
        <v>0</v>
      </c>
      <c r="U308" s="730">
        <f>'gadu šķirošana'!V68</f>
        <v>0</v>
      </c>
      <c r="V308" s="730">
        <f>'gadu šķirošana'!W68</f>
        <v>0</v>
      </c>
      <c r="W308" s="730">
        <f>'gadu šķirošana'!X68</f>
        <v>0</v>
      </c>
      <c r="X308" s="730">
        <f>'gadu šķirošana'!Y68</f>
        <v>0</v>
      </c>
      <c r="Y308" s="730">
        <f>'gadu šķirošana'!Z68</f>
        <v>0</v>
      </c>
      <c r="Z308" s="730">
        <f>'gadu šķirošana'!AA68</f>
        <v>0</v>
      </c>
      <c r="AA308" s="730">
        <f>'gadu šķirošana'!AB68</f>
        <v>0</v>
      </c>
      <c r="AB308" s="730">
        <f>'gadu šķirošana'!AC68</f>
        <v>0</v>
      </c>
      <c r="AC308" s="730">
        <f>'gadu šķirošana'!AD68</f>
        <v>0</v>
      </c>
      <c r="AD308" s="730">
        <f>'gadu šķirošana'!AE68</f>
        <v>0</v>
      </c>
      <c r="AE308" s="730">
        <f>'gadu šķirošana'!AF68</f>
        <v>0</v>
      </c>
      <c r="AF308" s="730">
        <f>'gadu šķirošana'!AG68</f>
        <v>0</v>
      </c>
      <c r="AG308" s="730">
        <f>'gadu šķirošana'!AH68</f>
        <v>0</v>
      </c>
      <c r="AH308" s="730">
        <f>'gadu šķirošana'!AI68</f>
        <v>0</v>
      </c>
      <c r="AI308" s="730">
        <f>'gadu šķirošana'!AJ68</f>
        <v>0</v>
      </c>
      <c r="AJ308" s="154"/>
      <c r="AK308" s="154"/>
      <c r="AL308" s="113"/>
      <c r="AM308" s="154"/>
      <c r="AN308" s="133"/>
      <c r="AO308" s="112"/>
      <c r="AP308" s="133"/>
      <c r="AQ308" s="112"/>
      <c r="AR308" s="133"/>
      <c r="AS308" s="154"/>
      <c r="AT308" s="154"/>
      <c r="AU308" s="154"/>
      <c r="AV308" s="154"/>
      <c r="AW308" s="154"/>
      <c r="AX308" s="154"/>
      <c r="AY308" s="154"/>
      <c r="AZ308" s="154"/>
      <c r="BA308" s="154"/>
      <c r="BB308" s="154"/>
      <c r="BC308" s="154"/>
      <c r="BD308" s="154"/>
      <c r="BE308" s="154"/>
      <c r="BF308" s="154"/>
      <c r="BG308" s="154"/>
      <c r="BH308" s="154"/>
      <c r="BI308" s="154"/>
      <c r="BJ308" s="154"/>
      <c r="BK308" s="154"/>
      <c r="BL308" s="154"/>
      <c r="BM308" s="154"/>
      <c r="BN308" s="154"/>
      <c r="BO308" s="154"/>
      <c r="BP308" s="154"/>
      <c r="BQ308" s="154"/>
      <c r="BR308" s="154"/>
      <c r="BS308" s="154"/>
      <c r="BT308" s="154"/>
      <c r="BU308" s="154"/>
      <c r="BV308" s="154"/>
      <c r="BW308" s="154"/>
      <c r="BX308" s="154"/>
      <c r="BY308" s="154"/>
      <c r="BZ308" s="154"/>
      <c r="CA308" s="154"/>
      <c r="CB308" s="154"/>
      <c r="CC308" s="154"/>
      <c r="CD308" s="154"/>
      <c r="CE308" s="154"/>
      <c r="CF308" s="154"/>
      <c r="CG308" s="154"/>
      <c r="CH308" s="154"/>
      <c r="CI308" s="154"/>
      <c r="CJ308" s="154"/>
      <c r="CK308" s="154"/>
      <c r="CL308" s="154"/>
      <c r="CM308" s="154"/>
      <c r="CN308" s="154"/>
      <c r="CO308" s="154"/>
      <c r="CP308" s="154"/>
      <c r="CQ308" s="154"/>
      <c r="CR308" s="154"/>
      <c r="CS308" s="154"/>
      <c r="CT308" s="154"/>
      <c r="CU308" s="154"/>
      <c r="CV308" s="154"/>
      <c r="CW308" s="154"/>
      <c r="CX308" s="154"/>
      <c r="CY308" s="154"/>
      <c r="CZ308" s="154"/>
      <c r="DA308" s="154"/>
      <c r="DB308" s="154"/>
      <c r="DC308" s="154"/>
      <c r="DD308" s="154"/>
      <c r="DE308" s="154"/>
      <c r="DF308" s="154"/>
      <c r="DG308" s="154"/>
      <c r="DH308" s="154"/>
      <c r="DI308" s="154"/>
      <c r="DJ308" s="154"/>
      <c r="DK308" s="154"/>
      <c r="DL308" s="154"/>
      <c r="DM308" s="154"/>
      <c r="DN308" s="154"/>
      <c r="DO308" s="154"/>
      <c r="DP308" s="154"/>
      <c r="DQ308" s="154"/>
      <c r="DR308" s="154"/>
      <c r="DS308" s="154"/>
      <c r="DT308" s="154"/>
      <c r="DU308" s="154"/>
      <c r="DV308" s="154"/>
      <c r="DW308" s="154"/>
      <c r="DX308" s="154"/>
      <c r="DY308" s="154"/>
      <c r="DZ308" s="154"/>
      <c r="EA308" s="154"/>
      <c r="EB308" s="154"/>
      <c r="EC308" s="154"/>
      <c r="ED308" s="154"/>
      <c r="EE308" s="154"/>
      <c r="EF308" s="154"/>
      <c r="EG308" s="154"/>
      <c r="EH308" s="154"/>
      <c r="EI308" s="154"/>
      <c r="EJ308" s="154"/>
      <c r="EK308" s="154"/>
      <c r="EL308" s="154"/>
      <c r="EM308" s="154"/>
      <c r="EN308" s="154"/>
      <c r="EO308" s="154"/>
      <c r="EP308" s="154"/>
      <c r="EQ308" s="154"/>
      <c r="ER308" s="154"/>
      <c r="ES308" s="154"/>
      <c r="ET308" s="154"/>
      <c r="EU308" s="154"/>
      <c r="EV308" s="154"/>
      <c r="EW308" s="154"/>
      <c r="EX308" s="154"/>
      <c r="EY308" s="154"/>
      <c r="EZ308" s="154"/>
      <c r="FA308" s="154"/>
      <c r="FB308" s="154"/>
      <c r="FC308" s="154"/>
      <c r="FD308" s="154"/>
      <c r="FE308" s="154"/>
      <c r="FF308" s="154"/>
      <c r="FG308" s="154"/>
      <c r="FH308" s="154"/>
      <c r="FI308" s="154"/>
      <c r="FJ308" s="154"/>
      <c r="FK308" s="154"/>
      <c r="FL308" s="154"/>
      <c r="FM308" s="154"/>
      <c r="FN308" s="154"/>
      <c r="FO308" s="154"/>
      <c r="FP308" s="154"/>
      <c r="FQ308" s="154"/>
      <c r="FR308" s="154"/>
      <c r="FS308" s="154"/>
      <c r="FT308" s="154"/>
      <c r="FU308" s="154"/>
      <c r="FV308" s="154"/>
      <c r="FW308" s="154"/>
      <c r="FX308" s="154"/>
      <c r="FY308" s="154"/>
      <c r="FZ308" s="154"/>
      <c r="GA308" s="154"/>
      <c r="GB308" s="154"/>
      <c r="GC308" s="154"/>
      <c r="GD308" s="154"/>
      <c r="GE308" s="154"/>
      <c r="GF308" s="154"/>
      <c r="GG308" s="154"/>
      <c r="GH308" s="154"/>
      <c r="GI308" s="154"/>
      <c r="GJ308" s="154"/>
      <c r="GK308" s="154"/>
      <c r="GL308" s="154"/>
      <c r="GM308" s="154"/>
      <c r="GN308" s="154"/>
      <c r="GO308" s="154"/>
      <c r="GP308" s="154"/>
      <c r="GQ308" s="154"/>
      <c r="GR308" s="154"/>
      <c r="GS308" s="154"/>
      <c r="GT308" s="154"/>
      <c r="GU308" s="154"/>
      <c r="GV308" s="154"/>
      <c r="GW308" s="154"/>
      <c r="GX308" s="154"/>
      <c r="GY308" s="154"/>
      <c r="GZ308" s="154"/>
      <c r="HA308" s="154"/>
      <c r="HB308" s="154"/>
      <c r="HC308" s="154"/>
      <c r="HD308" s="154"/>
      <c r="HE308" s="154"/>
      <c r="HF308" s="154"/>
      <c r="HG308" s="154"/>
      <c r="HH308" s="154"/>
      <c r="HI308" s="154"/>
      <c r="HJ308" s="154"/>
      <c r="HK308" s="154"/>
      <c r="HL308" s="154"/>
      <c r="HM308" s="154"/>
      <c r="HN308" s="154"/>
      <c r="HO308" s="154"/>
      <c r="HP308" s="154"/>
      <c r="HQ308" s="154"/>
      <c r="HR308" s="154"/>
      <c r="HS308" s="154"/>
      <c r="HT308" s="154"/>
      <c r="HU308" s="154"/>
      <c r="HV308" s="154"/>
      <c r="HW308" s="154"/>
      <c r="HX308" s="154"/>
      <c r="HY308" s="154"/>
      <c r="HZ308" s="154"/>
      <c r="IA308" s="154"/>
      <c r="IB308" s="154"/>
      <c r="IC308" s="154"/>
      <c r="ID308" s="154"/>
      <c r="IE308" s="154"/>
      <c r="IF308" s="154"/>
      <c r="IG308" s="154"/>
      <c r="IH308" s="154"/>
      <c r="II308" s="154"/>
      <c r="IJ308" s="154"/>
      <c r="IK308" s="154"/>
      <c r="IL308" s="154"/>
      <c r="IM308" s="154"/>
      <c r="IN308" s="154"/>
      <c r="IO308" s="154"/>
      <c r="IP308" s="154"/>
      <c r="IQ308" s="154"/>
      <c r="IR308" s="154"/>
    </row>
    <row r="309" spans="1:252" s="136" customFormat="1" x14ac:dyDescent="0.2">
      <c r="A309" s="227" t="s">
        <v>177</v>
      </c>
      <c r="B309" s="733">
        <f>B305</f>
        <v>0</v>
      </c>
      <c r="C309" s="711">
        <f t="shared" ref="C309:AG309" si="803">(B309+C305)-C308</f>
        <v>50000</v>
      </c>
      <c r="D309" s="711">
        <f t="shared" si="803"/>
        <v>50000</v>
      </c>
      <c r="E309" s="711">
        <f t="shared" si="803"/>
        <v>45000</v>
      </c>
      <c r="F309" s="711">
        <f t="shared" si="803"/>
        <v>40000</v>
      </c>
      <c r="G309" s="711">
        <f t="shared" si="803"/>
        <v>35000</v>
      </c>
      <c r="H309" s="711">
        <f t="shared" si="803"/>
        <v>30000</v>
      </c>
      <c r="I309" s="711">
        <f t="shared" si="803"/>
        <v>25000</v>
      </c>
      <c r="J309" s="711">
        <f t="shared" si="803"/>
        <v>20000</v>
      </c>
      <c r="K309" s="711">
        <f t="shared" si="803"/>
        <v>15000</v>
      </c>
      <c r="L309" s="711">
        <f t="shared" si="803"/>
        <v>10000</v>
      </c>
      <c r="M309" s="711">
        <f t="shared" si="803"/>
        <v>5000</v>
      </c>
      <c r="N309" s="711">
        <f t="shared" si="803"/>
        <v>0</v>
      </c>
      <c r="O309" s="711">
        <f t="shared" si="803"/>
        <v>0</v>
      </c>
      <c r="P309" s="711">
        <f t="shared" si="803"/>
        <v>0</v>
      </c>
      <c r="Q309" s="711">
        <f t="shared" si="803"/>
        <v>0</v>
      </c>
      <c r="R309" s="711">
        <f t="shared" si="803"/>
        <v>0</v>
      </c>
      <c r="S309" s="711">
        <f t="shared" si="803"/>
        <v>0</v>
      </c>
      <c r="T309" s="711">
        <f t="shared" si="803"/>
        <v>0</v>
      </c>
      <c r="U309" s="711">
        <f t="shared" si="803"/>
        <v>0</v>
      </c>
      <c r="V309" s="711">
        <f t="shared" si="803"/>
        <v>0</v>
      </c>
      <c r="W309" s="711">
        <f t="shared" si="803"/>
        <v>0</v>
      </c>
      <c r="X309" s="711">
        <f t="shared" si="803"/>
        <v>0</v>
      </c>
      <c r="Y309" s="711">
        <f t="shared" si="803"/>
        <v>0</v>
      </c>
      <c r="Z309" s="711">
        <f t="shared" si="803"/>
        <v>0</v>
      </c>
      <c r="AA309" s="711">
        <f t="shared" si="803"/>
        <v>0</v>
      </c>
      <c r="AB309" s="711">
        <f t="shared" si="803"/>
        <v>0</v>
      </c>
      <c r="AC309" s="711">
        <f t="shared" si="803"/>
        <v>0</v>
      </c>
      <c r="AD309" s="711">
        <f t="shared" si="803"/>
        <v>0</v>
      </c>
      <c r="AE309" s="711">
        <f t="shared" si="803"/>
        <v>0</v>
      </c>
      <c r="AF309" s="711">
        <f t="shared" si="803"/>
        <v>0</v>
      </c>
      <c r="AG309" s="711">
        <f t="shared" si="803"/>
        <v>0</v>
      </c>
      <c r="AH309" s="711">
        <f>(AG309+AH305)-AH308</f>
        <v>0</v>
      </c>
      <c r="AI309" s="711">
        <f>(AH309+AI305)-AI308</f>
        <v>0</v>
      </c>
      <c r="AJ309" s="154"/>
      <c r="AK309" s="154"/>
      <c r="AL309" s="113"/>
      <c r="AM309" s="154"/>
      <c r="AN309" s="133"/>
      <c r="AO309" s="112"/>
      <c r="AP309" s="133"/>
      <c r="AQ309" s="112"/>
      <c r="AR309" s="133"/>
      <c r="AS309" s="154"/>
      <c r="AT309" s="154"/>
      <c r="AU309" s="154"/>
      <c r="AV309" s="154"/>
      <c r="AW309" s="154"/>
      <c r="AX309" s="154"/>
      <c r="AY309" s="154"/>
      <c r="AZ309" s="154"/>
      <c r="BA309" s="154"/>
      <c r="BB309" s="154"/>
      <c r="BC309" s="154"/>
      <c r="BD309" s="154"/>
      <c r="BE309" s="154"/>
      <c r="BF309" s="154"/>
      <c r="BG309" s="154"/>
      <c r="BH309" s="154"/>
      <c r="BI309" s="154"/>
      <c r="BJ309" s="154"/>
      <c r="BK309" s="154"/>
      <c r="BL309" s="154"/>
      <c r="BM309" s="154"/>
      <c r="BN309" s="154"/>
      <c r="BO309" s="154"/>
      <c r="BP309" s="154"/>
      <c r="BQ309" s="154"/>
      <c r="BR309" s="154"/>
      <c r="BS309" s="154"/>
      <c r="BT309" s="154"/>
      <c r="BU309" s="154"/>
      <c r="BV309" s="154"/>
      <c r="BW309" s="154"/>
      <c r="BX309" s="154"/>
      <c r="BY309" s="154"/>
      <c r="BZ309" s="154"/>
      <c r="CA309" s="154"/>
      <c r="CB309" s="154"/>
      <c r="CC309" s="154"/>
      <c r="CD309" s="154"/>
      <c r="CE309" s="154"/>
      <c r="CF309" s="154"/>
      <c r="CG309" s="154"/>
      <c r="CH309" s="154"/>
      <c r="CI309" s="154"/>
      <c r="CJ309" s="154"/>
      <c r="CK309" s="154"/>
      <c r="CL309" s="154"/>
      <c r="CM309" s="154"/>
      <c r="CN309" s="154"/>
      <c r="CO309" s="154"/>
      <c r="CP309" s="154"/>
      <c r="CQ309" s="154"/>
      <c r="CR309" s="154"/>
      <c r="CS309" s="154"/>
      <c r="CT309" s="154"/>
      <c r="CU309" s="154"/>
      <c r="CV309" s="154"/>
      <c r="CW309" s="154"/>
      <c r="CX309" s="154"/>
      <c r="CY309" s="154"/>
      <c r="CZ309" s="154"/>
      <c r="DA309" s="154"/>
      <c r="DB309" s="154"/>
      <c r="DC309" s="154"/>
      <c r="DD309" s="154"/>
      <c r="DE309" s="154"/>
      <c r="DF309" s="154"/>
      <c r="DG309" s="154"/>
      <c r="DH309" s="154"/>
      <c r="DI309" s="154"/>
      <c r="DJ309" s="154"/>
      <c r="DK309" s="154"/>
      <c r="DL309" s="154"/>
      <c r="DM309" s="154"/>
      <c r="DN309" s="154"/>
      <c r="DO309" s="154"/>
      <c r="DP309" s="154"/>
      <c r="DQ309" s="154"/>
      <c r="DR309" s="154"/>
      <c r="DS309" s="154"/>
      <c r="DT309" s="154"/>
      <c r="DU309" s="154"/>
      <c r="DV309" s="154"/>
      <c r="DW309" s="154"/>
      <c r="DX309" s="154"/>
      <c r="DY309" s="154"/>
      <c r="DZ309" s="154"/>
      <c r="EA309" s="154"/>
      <c r="EB309" s="154"/>
      <c r="EC309" s="154"/>
      <c r="ED309" s="154"/>
      <c r="EE309" s="154"/>
      <c r="EF309" s="154"/>
      <c r="EG309" s="154"/>
      <c r="EH309" s="154"/>
      <c r="EI309" s="154"/>
      <c r="EJ309" s="154"/>
      <c r="EK309" s="154"/>
      <c r="EL309" s="154"/>
      <c r="EM309" s="154"/>
      <c r="EN309" s="154"/>
      <c r="EO309" s="154"/>
      <c r="EP309" s="154"/>
      <c r="EQ309" s="154"/>
      <c r="ER309" s="154"/>
      <c r="ES309" s="154"/>
      <c r="ET309" s="154"/>
      <c r="EU309" s="154"/>
      <c r="EV309" s="154"/>
      <c r="EW309" s="154"/>
      <c r="EX309" s="154"/>
      <c r="EY309" s="154"/>
      <c r="EZ309" s="154"/>
      <c r="FA309" s="154"/>
      <c r="FB309" s="154"/>
      <c r="FC309" s="154"/>
      <c r="FD309" s="154"/>
      <c r="FE309" s="154"/>
      <c r="FF309" s="154"/>
      <c r="FG309" s="154"/>
      <c r="FH309" s="154"/>
      <c r="FI309" s="154"/>
      <c r="FJ309" s="154"/>
      <c r="FK309" s="154"/>
      <c r="FL309" s="154"/>
      <c r="FM309" s="154"/>
      <c r="FN309" s="154"/>
      <c r="FO309" s="154"/>
      <c r="FP309" s="154"/>
      <c r="FQ309" s="154"/>
      <c r="FR309" s="154"/>
      <c r="FS309" s="154"/>
      <c r="FT309" s="154"/>
      <c r="FU309" s="154"/>
      <c r="FV309" s="154"/>
      <c r="FW309" s="154"/>
      <c r="FX309" s="154"/>
      <c r="FY309" s="154"/>
      <c r="FZ309" s="154"/>
      <c r="GA309" s="154"/>
      <c r="GB309" s="154"/>
      <c r="GC309" s="154"/>
      <c r="GD309" s="154"/>
      <c r="GE309" s="154"/>
      <c r="GF309" s="154"/>
      <c r="GG309" s="154"/>
      <c r="GH309" s="154"/>
      <c r="GI309" s="154"/>
      <c r="GJ309" s="154"/>
      <c r="GK309" s="154"/>
      <c r="GL309" s="154"/>
      <c r="GM309" s="154"/>
      <c r="GN309" s="154"/>
      <c r="GO309" s="154"/>
      <c r="GP309" s="154"/>
      <c r="GQ309" s="154"/>
      <c r="GR309" s="154"/>
      <c r="GS309" s="154"/>
      <c r="GT309" s="154"/>
      <c r="GU309" s="154"/>
      <c r="GV309" s="154"/>
      <c r="GW309" s="154"/>
      <c r="GX309" s="154"/>
      <c r="GY309" s="154"/>
      <c r="GZ309" s="154"/>
      <c r="HA309" s="154"/>
      <c r="HB309" s="154"/>
      <c r="HC309" s="154"/>
      <c r="HD309" s="154"/>
      <c r="HE309" s="154"/>
      <c r="HF309" s="154"/>
      <c r="HG309" s="154"/>
      <c r="HH309" s="154"/>
      <c r="HI309" s="154"/>
      <c r="HJ309" s="154"/>
      <c r="HK309" s="154"/>
      <c r="HL309" s="154"/>
      <c r="HM309" s="154"/>
      <c r="HN309" s="154"/>
      <c r="HO309" s="154"/>
      <c r="HP309" s="154"/>
      <c r="HQ309" s="154"/>
      <c r="HR309" s="154"/>
      <c r="HS309" s="154"/>
      <c r="HT309" s="154"/>
      <c r="HU309" s="154"/>
      <c r="HV309" s="154"/>
      <c r="HW309" s="154"/>
      <c r="HX309" s="154"/>
      <c r="HY309" s="154"/>
      <c r="HZ309" s="154"/>
      <c r="IA309" s="154"/>
      <c r="IB309" s="154"/>
      <c r="IC309" s="154"/>
      <c r="ID309" s="154"/>
      <c r="IE309" s="154"/>
      <c r="IF309" s="154"/>
      <c r="IG309" s="154"/>
      <c r="IH309" s="154"/>
      <c r="II309" s="154"/>
      <c r="IJ309" s="154"/>
      <c r="IK309" s="154"/>
      <c r="IL309" s="154"/>
      <c r="IM309" s="154"/>
      <c r="IN309" s="154"/>
      <c r="IO309" s="154"/>
      <c r="IP309" s="154"/>
      <c r="IQ309" s="154"/>
      <c r="IR309" s="154"/>
    </row>
    <row r="310" spans="1:252" s="136" customFormat="1" x14ac:dyDescent="0.2">
      <c r="A310" s="40"/>
      <c r="B310" s="228" t="s">
        <v>323</v>
      </c>
      <c r="C310" s="228">
        <f>SUM(B305:AH305)</f>
        <v>50000</v>
      </c>
      <c r="D310" s="195"/>
      <c r="E310" s="195"/>
      <c r="F310" s="195"/>
      <c r="G310" s="195"/>
      <c r="H310" s="195"/>
      <c r="I310" s="195"/>
      <c r="J310" s="195"/>
      <c r="K310" s="195"/>
      <c r="L310" s="195"/>
      <c r="M310" s="223"/>
      <c r="N310" s="223"/>
      <c r="O310" s="223"/>
      <c r="P310" s="223"/>
      <c r="Q310" s="223"/>
      <c r="R310" s="223"/>
      <c r="S310" s="223"/>
      <c r="T310" s="223"/>
      <c r="U310" s="223"/>
      <c r="V310" s="223"/>
      <c r="W310" s="223"/>
      <c r="X310" s="223"/>
      <c r="Y310" s="223"/>
      <c r="Z310" s="224"/>
      <c r="AA310" s="224"/>
      <c r="AB310" s="224"/>
      <c r="AC310" s="224"/>
      <c r="AD310" s="224"/>
      <c r="AE310" s="224"/>
      <c r="AF310" s="224"/>
      <c r="AG310" s="224"/>
      <c r="AH310" s="224"/>
      <c r="AI310" s="224"/>
      <c r="AJ310" s="154"/>
      <c r="AK310" s="154"/>
      <c r="AL310" s="113"/>
      <c r="AM310" s="154"/>
      <c r="AN310" s="133"/>
      <c r="AO310" s="112"/>
      <c r="AP310" s="133"/>
      <c r="AQ310" s="112"/>
      <c r="AR310" s="133"/>
      <c r="AS310" s="154"/>
      <c r="AT310" s="154"/>
      <c r="AU310" s="154"/>
      <c r="AV310" s="154"/>
      <c r="AW310" s="154"/>
      <c r="AX310" s="154"/>
      <c r="AY310" s="154"/>
      <c r="AZ310" s="154"/>
      <c r="BA310" s="154"/>
      <c r="BB310" s="154"/>
      <c r="BC310" s="154"/>
      <c r="BD310" s="154"/>
      <c r="BE310" s="154"/>
      <c r="BF310" s="154"/>
      <c r="BG310" s="154"/>
      <c r="BH310" s="154"/>
      <c r="BI310" s="154"/>
      <c r="BJ310" s="154"/>
      <c r="BK310" s="154"/>
      <c r="BL310" s="154"/>
      <c r="BM310" s="154"/>
      <c r="BN310" s="154"/>
      <c r="BO310" s="154"/>
      <c r="BP310" s="154"/>
      <c r="BQ310" s="154"/>
      <c r="BR310" s="154"/>
      <c r="BS310" s="154"/>
      <c r="BT310" s="154"/>
      <c r="BU310" s="154"/>
      <c r="BV310" s="154"/>
      <c r="BW310" s="154"/>
      <c r="BX310" s="154"/>
      <c r="BY310" s="154"/>
      <c r="BZ310" s="154"/>
      <c r="CA310" s="154"/>
      <c r="CB310" s="154"/>
      <c r="CC310" s="154"/>
      <c r="CD310" s="154"/>
      <c r="CE310" s="154"/>
      <c r="CF310" s="154"/>
      <c r="CG310" s="154"/>
      <c r="CH310" s="154"/>
      <c r="CI310" s="154"/>
      <c r="CJ310" s="154"/>
      <c r="CK310" s="154"/>
      <c r="CL310" s="154"/>
      <c r="CM310" s="154"/>
      <c r="CN310" s="154"/>
      <c r="CO310" s="154"/>
      <c r="CP310" s="154"/>
      <c r="CQ310" s="154"/>
      <c r="CR310" s="154"/>
      <c r="CS310" s="154"/>
      <c r="CT310" s="154"/>
      <c r="CU310" s="154"/>
      <c r="CV310" s="154"/>
      <c r="CW310" s="154"/>
      <c r="CX310" s="154"/>
      <c r="CY310" s="154"/>
      <c r="CZ310" s="154"/>
      <c r="DA310" s="154"/>
      <c r="DB310" s="154"/>
      <c r="DC310" s="154"/>
      <c r="DD310" s="154"/>
      <c r="DE310" s="154"/>
      <c r="DF310" s="154"/>
      <c r="DG310" s="154"/>
      <c r="DH310" s="154"/>
      <c r="DI310" s="154"/>
      <c r="DJ310" s="154"/>
      <c r="DK310" s="154"/>
      <c r="DL310" s="154"/>
      <c r="DM310" s="154"/>
      <c r="DN310" s="154"/>
      <c r="DO310" s="154"/>
      <c r="DP310" s="154"/>
      <c r="DQ310" s="154"/>
      <c r="DR310" s="154"/>
      <c r="DS310" s="154"/>
      <c r="DT310" s="154"/>
      <c r="DU310" s="154"/>
      <c r="DV310" s="154"/>
      <c r="DW310" s="154"/>
      <c r="DX310" s="154"/>
      <c r="DY310" s="154"/>
      <c r="DZ310" s="154"/>
      <c r="EA310" s="154"/>
      <c r="EB310" s="154"/>
      <c r="EC310" s="154"/>
      <c r="ED310" s="154"/>
      <c r="EE310" s="154"/>
      <c r="EF310" s="154"/>
      <c r="EG310" s="154"/>
      <c r="EH310" s="154"/>
      <c r="EI310" s="154"/>
      <c r="EJ310" s="154"/>
      <c r="EK310" s="154"/>
      <c r="EL310" s="154"/>
      <c r="EM310" s="154"/>
      <c r="EN310" s="154"/>
      <c r="EO310" s="154"/>
      <c r="EP310" s="154"/>
      <c r="EQ310" s="154"/>
      <c r="ER310" s="154"/>
      <c r="ES310" s="154"/>
      <c r="ET310" s="154"/>
      <c r="EU310" s="154"/>
      <c r="EV310" s="154"/>
      <c r="EW310" s="154"/>
      <c r="EX310" s="154"/>
      <c r="EY310" s="154"/>
      <c r="EZ310" s="154"/>
      <c r="FA310" s="154"/>
      <c r="FB310" s="154"/>
      <c r="FC310" s="154"/>
      <c r="FD310" s="154"/>
      <c r="FE310" s="154"/>
      <c r="FF310" s="154"/>
      <c r="FG310" s="154"/>
      <c r="FH310" s="154"/>
      <c r="FI310" s="154"/>
      <c r="FJ310" s="154"/>
      <c r="FK310" s="154"/>
      <c r="FL310" s="154"/>
      <c r="FM310" s="154"/>
      <c r="FN310" s="154"/>
      <c r="FO310" s="154"/>
      <c r="FP310" s="154"/>
      <c r="FQ310" s="154"/>
      <c r="FR310" s="154"/>
      <c r="FS310" s="154"/>
      <c r="FT310" s="154"/>
      <c r="FU310" s="154"/>
      <c r="FV310" s="154"/>
      <c r="FW310" s="154"/>
      <c r="FX310" s="154"/>
      <c r="FY310" s="154"/>
      <c r="FZ310" s="154"/>
      <c r="GA310" s="154"/>
      <c r="GB310" s="154"/>
      <c r="GC310" s="154"/>
      <c r="GD310" s="154"/>
      <c r="GE310" s="154"/>
      <c r="GF310" s="154"/>
      <c r="GG310" s="154"/>
      <c r="GH310" s="154"/>
      <c r="GI310" s="154"/>
      <c r="GJ310" s="154"/>
      <c r="GK310" s="154"/>
      <c r="GL310" s="154"/>
      <c r="GM310" s="154"/>
      <c r="GN310" s="154"/>
      <c r="GO310" s="154"/>
      <c r="GP310" s="154"/>
      <c r="GQ310" s="154"/>
      <c r="GR310" s="154"/>
      <c r="GS310" s="154"/>
      <c r="GT310" s="154"/>
      <c r="GU310" s="154"/>
      <c r="GV310" s="154"/>
      <c r="GW310" s="154"/>
      <c r="GX310" s="154"/>
      <c r="GY310" s="154"/>
      <c r="GZ310" s="154"/>
      <c r="HA310" s="154"/>
      <c r="HB310" s="154"/>
      <c r="HC310" s="154"/>
      <c r="HD310" s="154"/>
      <c r="HE310" s="154"/>
      <c r="HF310" s="154"/>
      <c r="HG310" s="154"/>
      <c r="HH310" s="154"/>
      <c r="HI310" s="154"/>
      <c r="HJ310" s="154"/>
      <c r="HK310" s="154"/>
      <c r="HL310" s="154"/>
      <c r="HM310" s="154"/>
      <c r="HN310" s="154"/>
      <c r="HO310" s="154"/>
      <c r="HP310" s="154"/>
      <c r="HQ310" s="154"/>
      <c r="HR310" s="154"/>
      <c r="HS310" s="154"/>
      <c r="HT310" s="154"/>
      <c r="HU310" s="154"/>
      <c r="HV310" s="154"/>
      <c r="HW310" s="154"/>
      <c r="HX310" s="154"/>
      <c r="HY310" s="154"/>
      <c r="HZ310" s="154"/>
      <c r="IA310" s="154"/>
      <c r="IB310" s="154"/>
      <c r="IC310" s="154"/>
      <c r="ID310" s="154"/>
      <c r="IE310" s="154"/>
      <c r="IF310" s="154"/>
      <c r="IG310" s="154"/>
      <c r="IH310" s="154"/>
      <c r="II310" s="154"/>
      <c r="IJ310" s="154"/>
      <c r="IK310" s="154"/>
      <c r="IL310" s="154"/>
      <c r="IM310" s="154"/>
      <c r="IN310" s="154"/>
      <c r="IO310" s="154"/>
      <c r="IP310" s="154"/>
      <c r="IQ310" s="154"/>
      <c r="IR310" s="154"/>
    </row>
    <row r="311" spans="1:252" s="136" customFormat="1" ht="33.75" x14ac:dyDescent="0.2">
      <c r="A311" s="229" t="s">
        <v>250</v>
      </c>
      <c r="B311" s="154"/>
      <c r="C311" s="154"/>
      <c r="D311" s="154"/>
      <c r="E311" s="154"/>
      <c r="F311" s="154"/>
      <c r="G311" s="154"/>
      <c r="H311" s="154"/>
      <c r="I311" s="154"/>
      <c r="J311" s="154"/>
      <c r="K311" s="154"/>
      <c r="L311" s="154"/>
      <c r="M311" s="154"/>
      <c r="N311" s="154"/>
      <c r="O311" s="154"/>
      <c r="P311" s="154"/>
      <c r="Q311" s="154"/>
      <c r="R311" s="154"/>
      <c r="S311" s="154"/>
      <c r="T311" s="154"/>
      <c r="U311" s="154"/>
      <c r="V311" s="154"/>
      <c r="W311" s="154"/>
      <c r="X311" s="154"/>
      <c r="Y311" s="154"/>
      <c r="Z311" s="154"/>
      <c r="AA311" s="154"/>
      <c r="AB311" s="154"/>
      <c r="AC311" s="154"/>
      <c r="AD311" s="154"/>
      <c r="AE311" s="154"/>
      <c r="AF311" s="154"/>
      <c r="AG311" s="154"/>
      <c r="AH311" s="154"/>
      <c r="AI311" s="154"/>
      <c r="AJ311" s="154"/>
      <c r="AK311" s="154"/>
      <c r="AL311" s="113"/>
      <c r="AM311" s="154"/>
      <c r="AN311" s="133"/>
      <c r="AO311" s="112"/>
      <c r="AP311" s="133"/>
      <c r="AQ311" s="112"/>
      <c r="AR311" s="133"/>
      <c r="AS311" s="154"/>
      <c r="AT311" s="154"/>
      <c r="AU311" s="154"/>
      <c r="AV311" s="154"/>
      <c r="AW311" s="154"/>
      <c r="AX311" s="154"/>
      <c r="AY311" s="154"/>
      <c r="AZ311" s="154"/>
      <c r="BA311" s="154"/>
      <c r="BB311" s="154"/>
      <c r="BC311" s="154"/>
      <c r="BD311" s="154"/>
      <c r="BE311" s="154"/>
      <c r="BF311" s="154"/>
      <c r="BG311" s="154"/>
      <c r="BH311" s="154"/>
      <c r="BI311" s="154"/>
      <c r="BJ311" s="154"/>
      <c r="BK311" s="154"/>
      <c r="BL311" s="154"/>
      <c r="BM311" s="154"/>
      <c r="BN311" s="154"/>
      <c r="BO311" s="154"/>
      <c r="BP311" s="154"/>
      <c r="BQ311" s="154"/>
      <c r="BR311" s="154"/>
      <c r="BS311" s="154"/>
      <c r="BT311" s="154"/>
      <c r="BU311" s="154"/>
      <c r="BV311" s="154"/>
      <c r="BW311" s="154"/>
      <c r="BX311" s="154"/>
      <c r="BY311" s="154"/>
      <c r="BZ311" s="154"/>
      <c r="CA311" s="154"/>
      <c r="CB311" s="154"/>
      <c r="CC311" s="154"/>
      <c r="CD311" s="154"/>
      <c r="CE311" s="154"/>
      <c r="CF311" s="154"/>
      <c r="CG311" s="154"/>
      <c r="CH311" s="154"/>
      <c r="CI311" s="154"/>
      <c r="CJ311" s="154"/>
      <c r="CK311" s="154"/>
      <c r="CL311" s="154"/>
      <c r="CM311" s="154"/>
      <c r="CN311" s="154"/>
      <c r="CO311" s="154"/>
      <c r="CP311" s="154"/>
      <c r="CQ311" s="154"/>
      <c r="CR311" s="154"/>
      <c r="CS311" s="154"/>
      <c r="CT311" s="154"/>
      <c r="CU311" s="154"/>
      <c r="CV311" s="154"/>
      <c r="CW311" s="154"/>
      <c r="CX311" s="154"/>
      <c r="CY311" s="154"/>
      <c r="CZ311" s="154"/>
      <c r="DA311" s="154"/>
      <c r="DB311" s="154"/>
      <c r="DC311" s="154"/>
      <c r="DD311" s="154"/>
      <c r="DE311" s="154"/>
      <c r="DF311" s="154"/>
      <c r="DG311" s="154"/>
      <c r="DH311" s="154"/>
      <c r="DI311" s="154"/>
      <c r="DJ311" s="154"/>
      <c r="DK311" s="154"/>
      <c r="DL311" s="154"/>
      <c r="DM311" s="154"/>
      <c r="DN311" s="154"/>
      <c r="DO311" s="154"/>
      <c r="DP311" s="154"/>
      <c r="DQ311" s="154"/>
      <c r="DR311" s="154"/>
      <c r="DS311" s="154"/>
      <c r="DT311" s="154"/>
      <c r="DU311" s="154"/>
      <c r="DV311" s="154"/>
      <c r="DW311" s="154"/>
      <c r="DX311" s="154"/>
      <c r="DY311" s="154"/>
      <c r="DZ311" s="154"/>
      <c r="EA311" s="154"/>
      <c r="EB311" s="154"/>
      <c r="EC311" s="154"/>
      <c r="ED311" s="154"/>
      <c r="EE311" s="154"/>
      <c r="EF311" s="154"/>
      <c r="EG311" s="154"/>
      <c r="EH311" s="154"/>
      <c r="EI311" s="154"/>
      <c r="EJ311" s="154"/>
      <c r="EK311" s="154"/>
      <c r="EL311" s="154"/>
      <c r="EM311" s="154"/>
      <c r="EN311" s="154"/>
      <c r="EO311" s="154"/>
      <c r="EP311" s="154"/>
      <c r="EQ311" s="154"/>
      <c r="ER311" s="154"/>
      <c r="ES311" s="154"/>
      <c r="ET311" s="154"/>
      <c r="EU311" s="154"/>
      <c r="EV311" s="154"/>
      <c r="EW311" s="154"/>
      <c r="EX311" s="154"/>
      <c r="EY311" s="154"/>
      <c r="EZ311" s="154"/>
      <c r="FA311" s="154"/>
      <c r="FB311" s="154"/>
      <c r="FC311" s="154"/>
      <c r="FD311" s="154"/>
      <c r="FE311" s="154"/>
      <c r="FF311" s="154"/>
      <c r="FG311" s="154"/>
      <c r="FH311" s="154"/>
      <c r="FI311" s="154"/>
      <c r="FJ311" s="154"/>
      <c r="FK311" s="154"/>
      <c r="FL311" s="154"/>
      <c r="FM311" s="154"/>
      <c r="FN311" s="154"/>
      <c r="FO311" s="154"/>
      <c r="FP311" s="154"/>
      <c r="FQ311" s="154"/>
      <c r="FR311" s="154"/>
      <c r="FS311" s="154"/>
      <c r="FT311" s="154"/>
      <c r="FU311" s="154"/>
      <c r="FV311" s="154"/>
      <c r="FW311" s="154"/>
      <c r="FX311" s="154"/>
      <c r="FY311" s="154"/>
      <c r="FZ311" s="154"/>
      <c r="GA311" s="154"/>
      <c r="GB311" s="154"/>
      <c r="GC311" s="154"/>
      <c r="GD311" s="154"/>
      <c r="GE311" s="154"/>
      <c r="GF311" s="154"/>
      <c r="GG311" s="154"/>
      <c r="GH311" s="154"/>
      <c r="GI311" s="154"/>
      <c r="GJ311" s="154"/>
      <c r="GK311" s="154"/>
      <c r="GL311" s="154"/>
      <c r="GM311" s="154"/>
      <c r="GN311" s="154"/>
      <c r="GO311" s="154"/>
      <c r="GP311" s="154"/>
      <c r="GQ311" s="154"/>
      <c r="GR311" s="154"/>
      <c r="GS311" s="154"/>
      <c r="GT311" s="154"/>
      <c r="GU311" s="154"/>
      <c r="GV311" s="154"/>
      <c r="GW311" s="154"/>
      <c r="GX311" s="154"/>
      <c r="GY311" s="154"/>
      <c r="GZ311" s="154"/>
      <c r="HA311" s="154"/>
      <c r="HB311" s="154"/>
      <c r="HC311" s="154"/>
      <c r="HD311" s="154"/>
      <c r="HE311" s="154"/>
      <c r="HF311" s="154"/>
      <c r="HG311" s="154"/>
      <c r="HH311" s="154"/>
      <c r="HI311" s="154"/>
      <c r="HJ311" s="154"/>
      <c r="HK311" s="154"/>
      <c r="HL311" s="154"/>
      <c r="HM311" s="154"/>
      <c r="HN311" s="154"/>
      <c r="HO311" s="154"/>
      <c r="HP311" s="154"/>
      <c r="HQ311" s="154"/>
      <c r="HR311" s="154"/>
      <c r="HS311" s="154"/>
      <c r="HT311" s="154"/>
      <c r="HU311" s="154"/>
      <c r="HV311" s="154"/>
      <c r="HW311" s="154"/>
      <c r="HX311" s="154"/>
      <c r="HY311" s="154"/>
      <c r="HZ311" s="154"/>
      <c r="IA311" s="154"/>
      <c r="IB311" s="154"/>
      <c r="IC311" s="154"/>
      <c r="ID311" s="154"/>
      <c r="IE311" s="154"/>
      <c r="IF311" s="154"/>
      <c r="IG311" s="154"/>
      <c r="IH311" s="154"/>
      <c r="II311" s="154"/>
      <c r="IJ311" s="154"/>
      <c r="IK311" s="154"/>
      <c r="IL311" s="154"/>
      <c r="IM311" s="154"/>
      <c r="IN311" s="154"/>
      <c r="IO311" s="154"/>
      <c r="IP311" s="154"/>
      <c r="IQ311" s="154"/>
      <c r="IR311" s="154"/>
    </row>
    <row r="312" spans="1:252" s="136" customFormat="1" ht="10.5" customHeight="1" x14ac:dyDescent="0.2">
      <c r="B312" s="154"/>
      <c r="C312" s="154"/>
      <c r="D312" s="154"/>
      <c r="E312" s="154"/>
      <c r="F312" s="154"/>
      <c r="G312" s="154"/>
      <c r="H312" s="154"/>
      <c r="I312" s="154"/>
      <c r="J312" s="154"/>
      <c r="K312" s="154"/>
      <c r="L312" s="154"/>
      <c r="M312" s="154"/>
      <c r="N312" s="154"/>
      <c r="O312" s="154"/>
      <c r="P312" s="154"/>
      <c r="Q312" s="154"/>
      <c r="R312" s="154"/>
      <c r="S312" s="154"/>
      <c r="T312" s="154"/>
      <c r="U312" s="154"/>
      <c r="V312" s="154"/>
      <c r="W312" s="154"/>
      <c r="X312" s="154"/>
      <c r="Y312" s="154"/>
      <c r="Z312" s="154"/>
      <c r="AA312" s="154"/>
      <c r="AB312" s="154"/>
      <c r="AC312" s="154"/>
      <c r="AD312" s="154"/>
      <c r="AE312" s="154"/>
      <c r="AF312" s="154"/>
      <c r="AG312" s="154"/>
      <c r="AH312" s="154"/>
      <c r="AI312" s="154"/>
      <c r="AJ312" s="154"/>
      <c r="AK312" s="154"/>
      <c r="AL312" s="113"/>
      <c r="AM312" s="154"/>
      <c r="AN312" s="133"/>
      <c r="AO312" s="112"/>
      <c r="AP312" s="133"/>
      <c r="AQ312" s="112"/>
      <c r="AR312" s="133"/>
      <c r="AS312" s="154"/>
      <c r="AT312" s="154"/>
      <c r="AU312" s="154"/>
      <c r="AV312" s="154"/>
      <c r="AW312" s="154"/>
      <c r="AX312" s="154"/>
      <c r="AY312" s="154"/>
      <c r="AZ312" s="154"/>
      <c r="BA312" s="154"/>
      <c r="BB312" s="154"/>
      <c r="BC312" s="154"/>
      <c r="BD312" s="154"/>
      <c r="BE312" s="154"/>
      <c r="BF312" s="154"/>
      <c r="BG312" s="154"/>
      <c r="BH312" s="154"/>
      <c r="BI312" s="154"/>
      <c r="BJ312" s="154"/>
      <c r="BK312" s="154"/>
      <c r="BL312" s="154"/>
      <c r="BM312" s="154"/>
      <c r="BN312" s="154"/>
      <c r="BO312" s="154"/>
      <c r="BP312" s="154"/>
      <c r="BQ312" s="154"/>
      <c r="BR312" s="154"/>
      <c r="BS312" s="154"/>
      <c r="BT312" s="154"/>
      <c r="BU312" s="154"/>
      <c r="BV312" s="154"/>
      <c r="BW312" s="154"/>
      <c r="BX312" s="154"/>
      <c r="BY312" s="154"/>
      <c r="BZ312" s="154"/>
      <c r="CA312" s="154"/>
      <c r="CB312" s="154"/>
      <c r="CC312" s="154"/>
      <c r="CD312" s="154"/>
      <c r="CE312" s="154"/>
      <c r="CF312" s="154"/>
      <c r="CG312" s="154"/>
      <c r="CH312" s="154"/>
      <c r="CI312" s="154"/>
      <c r="CJ312" s="154"/>
      <c r="CK312" s="154"/>
      <c r="CL312" s="154"/>
      <c r="CM312" s="154"/>
      <c r="CN312" s="154"/>
      <c r="CO312" s="154"/>
      <c r="CP312" s="154"/>
      <c r="CQ312" s="154"/>
      <c r="CR312" s="154"/>
      <c r="CS312" s="154"/>
      <c r="CT312" s="154"/>
      <c r="CU312" s="154"/>
      <c r="CV312" s="154"/>
      <c r="CW312" s="154"/>
      <c r="CX312" s="154"/>
      <c r="CY312" s="154"/>
      <c r="CZ312" s="154"/>
      <c r="DA312" s="154"/>
      <c r="DB312" s="154"/>
      <c r="DC312" s="154"/>
      <c r="DD312" s="154"/>
      <c r="DE312" s="154"/>
      <c r="DF312" s="154"/>
      <c r="DG312" s="154"/>
      <c r="DH312" s="154"/>
      <c r="DI312" s="154"/>
      <c r="DJ312" s="154"/>
      <c r="DK312" s="154"/>
      <c r="DL312" s="154"/>
      <c r="DM312" s="154"/>
      <c r="DN312" s="154"/>
      <c r="DO312" s="154"/>
      <c r="DP312" s="154"/>
      <c r="DQ312" s="154"/>
      <c r="DR312" s="154"/>
      <c r="DS312" s="154"/>
      <c r="DT312" s="154"/>
      <c r="DU312" s="154"/>
      <c r="DV312" s="154"/>
      <c r="DW312" s="154"/>
      <c r="DX312" s="154"/>
      <c r="DY312" s="154"/>
      <c r="DZ312" s="154"/>
      <c r="EA312" s="154"/>
      <c r="EB312" s="154"/>
      <c r="EC312" s="154"/>
      <c r="ED312" s="154"/>
      <c r="EE312" s="154"/>
      <c r="EF312" s="154"/>
      <c r="EG312" s="154"/>
      <c r="EH312" s="154"/>
      <c r="EI312" s="154"/>
      <c r="EJ312" s="154"/>
      <c r="EK312" s="154"/>
      <c r="EL312" s="154"/>
      <c r="EM312" s="154"/>
      <c r="EN312" s="154"/>
      <c r="EO312" s="154"/>
      <c r="EP312" s="154"/>
      <c r="EQ312" s="154"/>
      <c r="ER312" s="154"/>
      <c r="ES312" s="154"/>
      <c r="ET312" s="154"/>
      <c r="EU312" s="154"/>
      <c r="EV312" s="154"/>
      <c r="EW312" s="154"/>
      <c r="EX312" s="154"/>
      <c r="EY312" s="154"/>
      <c r="EZ312" s="154"/>
      <c r="FA312" s="154"/>
      <c r="FB312" s="154"/>
      <c r="FC312" s="154"/>
      <c r="FD312" s="154"/>
      <c r="FE312" s="154"/>
      <c r="FF312" s="154"/>
      <c r="FG312" s="154"/>
      <c r="FH312" s="154"/>
      <c r="FI312" s="154"/>
      <c r="FJ312" s="154"/>
      <c r="FK312" s="154"/>
      <c r="FL312" s="154"/>
      <c r="FM312" s="154"/>
      <c r="FN312" s="154"/>
      <c r="FO312" s="154"/>
      <c r="FP312" s="154"/>
      <c r="FQ312" s="154"/>
      <c r="FR312" s="154"/>
      <c r="FS312" s="154"/>
      <c r="FT312" s="154"/>
      <c r="FU312" s="154"/>
      <c r="FV312" s="154"/>
      <c r="FW312" s="154"/>
      <c r="FX312" s="154"/>
      <c r="FY312" s="154"/>
      <c r="FZ312" s="154"/>
      <c r="GA312" s="154"/>
      <c r="GB312" s="154"/>
      <c r="GC312" s="154"/>
      <c r="GD312" s="154"/>
      <c r="GE312" s="154"/>
      <c r="GF312" s="154"/>
      <c r="GG312" s="154"/>
      <c r="GH312" s="154"/>
      <c r="GI312" s="154"/>
      <c r="GJ312" s="154"/>
      <c r="GK312" s="154"/>
      <c r="GL312" s="154"/>
      <c r="GM312" s="154"/>
      <c r="GN312" s="154"/>
      <c r="GO312" s="154"/>
      <c r="GP312" s="154"/>
      <c r="GQ312" s="154"/>
      <c r="GR312" s="154"/>
      <c r="GS312" s="154"/>
      <c r="GT312" s="154"/>
      <c r="GU312" s="154"/>
      <c r="GV312" s="154"/>
      <c r="GW312" s="154"/>
      <c r="GX312" s="154"/>
      <c r="GY312" s="154"/>
      <c r="GZ312" s="154"/>
      <c r="HA312" s="154"/>
      <c r="HB312" s="154"/>
      <c r="HC312" s="154"/>
      <c r="HD312" s="154"/>
      <c r="HE312" s="154"/>
      <c r="HF312" s="154"/>
      <c r="HG312" s="154"/>
      <c r="HH312" s="154"/>
      <c r="HI312" s="154"/>
      <c r="HJ312" s="154"/>
      <c r="HK312" s="154"/>
      <c r="HL312" s="154"/>
      <c r="HM312" s="154"/>
      <c r="HN312" s="154"/>
      <c r="HO312" s="154"/>
      <c r="HP312" s="154"/>
      <c r="HQ312" s="154"/>
      <c r="HR312" s="154"/>
      <c r="HS312" s="154"/>
      <c r="HT312" s="154"/>
      <c r="HU312" s="154"/>
      <c r="HV312" s="154"/>
      <c r="HW312" s="154"/>
      <c r="HX312" s="154"/>
      <c r="HY312" s="154"/>
      <c r="HZ312" s="154"/>
      <c r="IA312" s="154"/>
      <c r="IB312" s="154"/>
      <c r="IC312" s="154"/>
      <c r="ID312" s="154"/>
      <c r="IE312" s="154"/>
      <c r="IF312" s="154"/>
      <c r="IG312" s="154"/>
      <c r="IH312" s="154"/>
      <c r="II312" s="154"/>
      <c r="IJ312" s="154"/>
      <c r="IK312" s="154"/>
      <c r="IL312" s="154"/>
      <c r="IM312" s="154"/>
      <c r="IN312" s="154"/>
      <c r="IO312" s="154"/>
      <c r="IP312" s="154"/>
      <c r="IQ312" s="154"/>
      <c r="IR312" s="154"/>
    </row>
    <row r="313" spans="1:252" s="136" customFormat="1" ht="31.5" x14ac:dyDescent="0.2">
      <c r="A313" s="167" t="s">
        <v>292</v>
      </c>
      <c r="B313" s="169"/>
      <c r="C313" s="169"/>
      <c r="D313" s="169"/>
      <c r="E313" s="169"/>
      <c r="F313" s="230"/>
      <c r="G313" s="230"/>
      <c r="H313" s="230"/>
      <c r="I313" s="230"/>
      <c r="J313" s="169"/>
      <c r="K313" s="169"/>
      <c r="L313" s="169"/>
      <c r="M313" s="169"/>
      <c r="N313" s="169"/>
      <c r="O313" s="169"/>
      <c r="P313" s="170"/>
      <c r="Q313" s="170"/>
      <c r="R313" s="170"/>
      <c r="S313" s="170"/>
      <c r="T313" s="170"/>
      <c r="U313" s="170"/>
      <c r="V313" s="170"/>
      <c r="W313" s="170"/>
      <c r="X313" s="170"/>
      <c r="Y313" s="170"/>
      <c r="Z313" s="170"/>
      <c r="AA313" s="170"/>
      <c r="AB313" s="170"/>
      <c r="AC313" s="170"/>
      <c r="AD313" s="170"/>
      <c r="AE313" s="170"/>
      <c r="AF313" s="170"/>
      <c r="AG313" s="170"/>
      <c r="AH313" s="170"/>
      <c r="AI313" s="170"/>
      <c r="AJ313" s="154"/>
      <c r="AK313" s="154"/>
      <c r="AL313" s="113"/>
      <c r="AM313" s="154"/>
      <c r="AN313" s="133"/>
      <c r="AO313" s="112"/>
      <c r="AP313" s="133"/>
      <c r="AQ313" s="112"/>
      <c r="AR313" s="133"/>
      <c r="AS313" s="154"/>
      <c r="AT313" s="154"/>
      <c r="AU313" s="154"/>
      <c r="AV313" s="154"/>
      <c r="AW313" s="154"/>
      <c r="AX313" s="154"/>
      <c r="AY313" s="154"/>
      <c r="AZ313" s="154"/>
      <c r="BA313" s="154"/>
      <c r="BB313" s="154"/>
      <c r="BC313" s="154"/>
      <c r="BD313" s="154"/>
      <c r="BE313" s="154"/>
      <c r="BF313" s="154"/>
      <c r="BG313" s="154"/>
      <c r="BH313" s="154"/>
      <c r="BI313" s="154"/>
      <c r="BJ313" s="154"/>
      <c r="BK313" s="154"/>
      <c r="BL313" s="154"/>
      <c r="BM313" s="154"/>
      <c r="BN313" s="154"/>
      <c r="BO313" s="154"/>
      <c r="BP313" s="154"/>
      <c r="BQ313" s="154"/>
      <c r="BR313" s="154"/>
      <c r="BS313" s="154"/>
      <c r="BT313" s="154"/>
      <c r="BU313" s="154"/>
      <c r="BV313" s="154"/>
      <c r="BW313" s="154"/>
      <c r="BX313" s="154"/>
      <c r="BY313" s="154"/>
      <c r="BZ313" s="154"/>
      <c r="CA313" s="154"/>
      <c r="CB313" s="154"/>
      <c r="CC313" s="154"/>
      <c r="CD313" s="154"/>
      <c r="CE313" s="154"/>
      <c r="CF313" s="154"/>
      <c r="CG313" s="154"/>
      <c r="CH313" s="154"/>
      <c r="CI313" s="154"/>
      <c r="CJ313" s="154"/>
      <c r="CK313" s="154"/>
      <c r="CL313" s="154"/>
      <c r="CM313" s="154"/>
      <c r="CN313" s="154"/>
      <c r="CO313" s="154"/>
      <c r="CP313" s="154"/>
      <c r="CQ313" s="154"/>
      <c r="CR313" s="154"/>
      <c r="CS313" s="154"/>
      <c r="CT313" s="154"/>
      <c r="CU313" s="154"/>
      <c r="CV313" s="154"/>
      <c r="CW313" s="154"/>
      <c r="CX313" s="154"/>
      <c r="CY313" s="154"/>
      <c r="CZ313" s="154"/>
      <c r="DA313" s="154"/>
      <c r="DB313" s="154"/>
      <c r="DC313" s="154"/>
      <c r="DD313" s="154"/>
      <c r="DE313" s="154"/>
      <c r="DF313" s="154"/>
      <c r="DG313" s="154"/>
      <c r="DH313" s="154"/>
      <c r="DI313" s="154"/>
      <c r="DJ313" s="154"/>
      <c r="DK313" s="154"/>
      <c r="DL313" s="154"/>
      <c r="DM313" s="154"/>
      <c r="DN313" s="154"/>
      <c r="DO313" s="154"/>
      <c r="DP313" s="154"/>
      <c r="DQ313" s="154"/>
      <c r="DR313" s="154"/>
      <c r="DS313" s="154"/>
      <c r="DT313" s="154"/>
      <c r="DU313" s="154"/>
      <c r="DV313" s="154"/>
      <c r="DW313" s="154"/>
      <c r="DX313" s="154"/>
      <c r="DY313" s="154"/>
      <c r="DZ313" s="154"/>
      <c r="EA313" s="154"/>
      <c r="EB313" s="154"/>
      <c r="EC313" s="154"/>
      <c r="ED313" s="154"/>
      <c r="EE313" s="154"/>
      <c r="EF313" s="154"/>
      <c r="EG313" s="154"/>
      <c r="EH313" s="154"/>
      <c r="EI313" s="154"/>
      <c r="EJ313" s="154"/>
      <c r="EK313" s="154"/>
      <c r="EL313" s="154"/>
      <c r="EM313" s="154"/>
      <c r="EN313" s="154"/>
      <c r="EO313" s="154"/>
      <c r="EP313" s="154"/>
      <c r="EQ313" s="154"/>
      <c r="ER313" s="154"/>
      <c r="ES313" s="154"/>
      <c r="ET313" s="154"/>
      <c r="EU313" s="154"/>
      <c r="EV313" s="154"/>
      <c r="EW313" s="154"/>
      <c r="EX313" s="154"/>
      <c r="EY313" s="154"/>
      <c r="EZ313" s="154"/>
      <c r="FA313" s="154"/>
      <c r="FB313" s="154"/>
      <c r="FC313" s="154"/>
      <c r="FD313" s="154"/>
      <c r="FE313" s="154"/>
      <c r="FF313" s="154"/>
      <c r="FG313" s="154"/>
      <c r="FH313" s="154"/>
      <c r="FI313" s="154"/>
      <c r="FJ313" s="154"/>
      <c r="FK313" s="154"/>
      <c r="FL313" s="154"/>
      <c r="FM313" s="154"/>
      <c r="FN313" s="154"/>
      <c r="FO313" s="154"/>
      <c r="FP313" s="154"/>
      <c r="FQ313" s="154"/>
      <c r="FR313" s="154"/>
      <c r="FS313" s="154"/>
      <c r="FT313" s="154"/>
      <c r="FU313" s="154"/>
      <c r="FV313" s="154"/>
      <c r="FW313" s="154"/>
      <c r="FX313" s="154"/>
      <c r="FY313" s="154"/>
      <c r="FZ313" s="154"/>
      <c r="GA313" s="154"/>
      <c r="GB313" s="154"/>
      <c r="GC313" s="154"/>
      <c r="GD313" s="154"/>
      <c r="GE313" s="154"/>
      <c r="GF313" s="154"/>
      <c r="GG313" s="154"/>
      <c r="GH313" s="154"/>
      <c r="GI313" s="154"/>
      <c r="GJ313" s="154"/>
      <c r="GK313" s="154"/>
      <c r="GL313" s="154"/>
      <c r="GM313" s="154"/>
      <c r="GN313" s="154"/>
      <c r="GO313" s="154"/>
      <c r="GP313" s="154"/>
      <c r="GQ313" s="154"/>
      <c r="GR313" s="154"/>
      <c r="GS313" s="154"/>
      <c r="GT313" s="154"/>
      <c r="GU313" s="154"/>
      <c r="GV313" s="154"/>
      <c r="GW313" s="154"/>
      <c r="GX313" s="154"/>
      <c r="GY313" s="154"/>
      <c r="GZ313" s="154"/>
      <c r="HA313" s="154"/>
      <c r="HB313" s="154"/>
      <c r="HC313" s="154"/>
      <c r="HD313" s="154"/>
      <c r="HE313" s="154"/>
      <c r="HF313" s="154"/>
      <c r="HG313" s="154"/>
      <c r="HH313" s="154"/>
      <c r="HI313" s="154"/>
      <c r="HJ313" s="154"/>
      <c r="HK313" s="154"/>
      <c r="HL313" s="154"/>
      <c r="HM313" s="154"/>
      <c r="HN313" s="154"/>
      <c r="HO313" s="154"/>
      <c r="HP313" s="154"/>
      <c r="HQ313" s="154"/>
      <c r="HR313" s="154"/>
      <c r="HS313" s="154"/>
      <c r="HT313" s="154"/>
      <c r="HU313" s="154"/>
      <c r="HV313" s="154"/>
      <c r="HW313" s="154"/>
      <c r="HX313" s="154"/>
      <c r="HY313" s="154"/>
      <c r="HZ313" s="154"/>
      <c r="IA313" s="154"/>
      <c r="IB313" s="154"/>
      <c r="IC313" s="154"/>
      <c r="ID313" s="154"/>
      <c r="IE313" s="154"/>
      <c r="IF313" s="154"/>
      <c r="IG313" s="154"/>
      <c r="IH313" s="154"/>
      <c r="II313" s="154"/>
      <c r="IJ313" s="154"/>
      <c r="IK313" s="154"/>
      <c r="IL313" s="154"/>
      <c r="IM313" s="154"/>
      <c r="IN313" s="154"/>
      <c r="IO313" s="154"/>
      <c r="IP313" s="154"/>
      <c r="IQ313" s="154"/>
      <c r="IR313" s="154"/>
    </row>
    <row r="314" spans="1:252" s="136" customFormat="1" x14ac:dyDescent="0.2">
      <c r="A314" s="191"/>
      <c r="B314" s="18"/>
      <c r="C314" s="18"/>
      <c r="D314" s="18"/>
      <c r="E314" s="18"/>
      <c r="F314" s="231"/>
      <c r="G314" s="231"/>
      <c r="H314" s="231"/>
      <c r="I314" s="231"/>
      <c r="J314" s="18"/>
      <c r="K314" s="18"/>
      <c r="L314" s="18"/>
      <c r="M314" s="18"/>
      <c r="N314" s="18"/>
      <c r="O314" s="18"/>
      <c r="P314" s="192"/>
      <c r="Q314" s="18" t="s">
        <v>16</v>
      </c>
      <c r="R314" s="192"/>
      <c r="S314" s="192"/>
      <c r="T314" s="192"/>
      <c r="U314" s="192"/>
      <c r="V314" s="192"/>
      <c r="W314" s="192"/>
      <c r="X314" s="192"/>
      <c r="Y314" s="192"/>
      <c r="Z314" s="192"/>
      <c r="AA314" s="192"/>
      <c r="AB314" s="192"/>
      <c r="AC314" s="192"/>
      <c r="AD314" s="192"/>
      <c r="AE314" s="192"/>
      <c r="AF314" s="192"/>
      <c r="AG314" s="192"/>
      <c r="AH314" s="192"/>
      <c r="AI314" s="192"/>
      <c r="AJ314" s="154"/>
      <c r="AK314" s="154"/>
      <c r="AL314" s="113"/>
      <c r="AM314" s="154"/>
      <c r="AN314" s="133"/>
      <c r="AO314" s="112"/>
      <c r="AP314" s="133"/>
      <c r="AQ314" s="112"/>
      <c r="AR314" s="133"/>
      <c r="AS314" s="154"/>
      <c r="AT314" s="154"/>
      <c r="AU314" s="154"/>
      <c r="AV314" s="154"/>
      <c r="AW314" s="154"/>
      <c r="AX314" s="154"/>
      <c r="AY314" s="154"/>
      <c r="AZ314" s="154"/>
      <c r="BA314" s="154"/>
      <c r="BB314" s="154"/>
      <c r="BC314" s="154"/>
      <c r="BD314" s="154"/>
      <c r="BE314" s="154"/>
      <c r="BF314" s="154"/>
      <c r="BG314" s="154"/>
      <c r="BH314" s="154"/>
      <c r="BI314" s="154"/>
      <c r="BJ314" s="154"/>
      <c r="BK314" s="154"/>
      <c r="BL314" s="154"/>
      <c r="BM314" s="154"/>
      <c r="BN314" s="154"/>
      <c r="BO314" s="154"/>
      <c r="BP314" s="154"/>
      <c r="BQ314" s="154"/>
      <c r="BR314" s="154"/>
      <c r="BS314" s="154"/>
      <c r="BT314" s="154"/>
      <c r="BU314" s="154"/>
      <c r="BV314" s="154"/>
      <c r="BW314" s="154"/>
      <c r="BX314" s="154"/>
      <c r="BY314" s="154"/>
      <c r="BZ314" s="154"/>
      <c r="CA314" s="154"/>
      <c r="CB314" s="154"/>
      <c r="CC314" s="154"/>
      <c r="CD314" s="154"/>
      <c r="CE314" s="154"/>
      <c r="CF314" s="154"/>
      <c r="CG314" s="154"/>
      <c r="CH314" s="154"/>
      <c r="CI314" s="154"/>
      <c r="CJ314" s="154"/>
      <c r="CK314" s="154"/>
      <c r="CL314" s="154"/>
      <c r="CM314" s="154"/>
      <c r="CN314" s="154"/>
      <c r="CO314" s="154"/>
      <c r="CP314" s="154"/>
      <c r="CQ314" s="154"/>
      <c r="CR314" s="154"/>
      <c r="CS314" s="154"/>
      <c r="CT314" s="154"/>
      <c r="CU314" s="154"/>
      <c r="CV314" s="154"/>
      <c r="CW314" s="154"/>
      <c r="CX314" s="154"/>
      <c r="CY314" s="154"/>
      <c r="CZ314" s="154"/>
      <c r="DA314" s="154"/>
      <c r="DB314" s="154"/>
      <c r="DC314" s="154"/>
      <c r="DD314" s="154"/>
      <c r="DE314" s="154"/>
      <c r="DF314" s="154"/>
      <c r="DG314" s="154"/>
      <c r="DH314" s="154"/>
      <c r="DI314" s="154"/>
      <c r="DJ314" s="154"/>
      <c r="DK314" s="154"/>
      <c r="DL314" s="154"/>
      <c r="DM314" s="154"/>
      <c r="DN314" s="154"/>
      <c r="DO314" s="154"/>
      <c r="DP314" s="154"/>
      <c r="DQ314" s="154"/>
      <c r="DR314" s="154"/>
      <c r="DS314" s="154"/>
      <c r="DT314" s="154"/>
      <c r="DU314" s="154"/>
      <c r="DV314" s="154"/>
      <c r="DW314" s="154"/>
      <c r="DX314" s="154"/>
      <c r="DY314" s="154"/>
      <c r="DZ314" s="154"/>
      <c r="EA314" s="154"/>
      <c r="EB314" s="154"/>
      <c r="EC314" s="154"/>
      <c r="ED314" s="154"/>
      <c r="EE314" s="154"/>
      <c r="EF314" s="154"/>
      <c r="EG314" s="154"/>
      <c r="EH314" s="154"/>
      <c r="EI314" s="154"/>
      <c r="EJ314" s="154"/>
      <c r="EK314" s="154"/>
      <c r="EL314" s="154"/>
      <c r="EM314" s="154"/>
      <c r="EN314" s="154"/>
      <c r="EO314" s="154"/>
      <c r="EP314" s="154"/>
      <c r="EQ314" s="154"/>
      <c r="ER314" s="154"/>
      <c r="ES314" s="154"/>
      <c r="ET314" s="154"/>
      <c r="EU314" s="154"/>
      <c r="EV314" s="154"/>
      <c r="EW314" s="154"/>
      <c r="EX314" s="154"/>
      <c r="EY314" s="154"/>
      <c r="EZ314" s="154"/>
      <c r="FA314" s="154"/>
      <c r="FB314" s="154"/>
      <c r="FC314" s="154"/>
      <c r="FD314" s="154"/>
      <c r="FE314" s="154"/>
      <c r="FF314" s="154"/>
      <c r="FG314" s="154"/>
      <c r="FH314" s="154"/>
      <c r="FI314" s="154"/>
      <c r="FJ314" s="154"/>
      <c r="FK314" s="154"/>
      <c r="FL314" s="154"/>
      <c r="FM314" s="154"/>
      <c r="FN314" s="154"/>
      <c r="FO314" s="154"/>
      <c r="FP314" s="154"/>
      <c r="FQ314" s="154"/>
      <c r="FR314" s="154"/>
      <c r="FS314" s="154"/>
      <c r="FT314" s="154"/>
      <c r="FU314" s="154"/>
      <c r="FV314" s="154"/>
      <c r="FW314" s="154"/>
      <c r="FX314" s="154"/>
      <c r="FY314" s="154"/>
      <c r="FZ314" s="154"/>
      <c r="GA314" s="154"/>
      <c r="GB314" s="154"/>
      <c r="GC314" s="154"/>
      <c r="GD314" s="154"/>
      <c r="GE314" s="154"/>
      <c r="GF314" s="154"/>
      <c r="GG314" s="154"/>
      <c r="GH314" s="154"/>
      <c r="GI314" s="154"/>
      <c r="GJ314" s="154"/>
      <c r="GK314" s="154"/>
      <c r="GL314" s="154"/>
      <c r="GM314" s="154"/>
      <c r="GN314" s="154"/>
      <c r="GO314" s="154"/>
      <c r="GP314" s="154"/>
      <c r="GQ314" s="154"/>
      <c r="GR314" s="154"/>
      <c r="GS314" s="154"/>
      <c r="GT314" s="154"/>
      <c r="GU314" s="154"/>
      <c r="GV314" s="154"/>
      <c r="GW314" s="154"/>
      <c r="GX314" s="154"/>
      <c r="GY314" s="154"/>
      <c r="GZ314" s="154"/>
      <c r="HA314" s="154"/>
      <c r="HB314" s="154"/>
      <c r="HC314" s="154"/>
      <c r="HD314" s="154"/>
      <c r="HE314" s="154"/>
      <c r="HF314" s="154"/>
      <c r="HG314" s="154"/>
      <c r="HH314" s="154"/>
      <c r="HI314" s="154"/>
      <c r="HJ314" s="154"/>
      <c r="HK314" s="154"/>
      <c r="HL314" s="154"/>
      <c r="HM314" s="154"/>
      <c r="HN314" s="154"/>
      <c r="HO314" s="154"/>
      <c r="HP314" s="154"/>
      <c r="HQ314" s="154"/>
      <c r="HR314" s="154"/>
      <c r="HS314" s="154"/>
      <c r="HT314" s="154"/>
      <c r="HU314" s="154"/>
      <c r="HV314" s="154"/>
      <c r="HW314" s="154"/>
      <c r="HX314" s="154"/>
      <c r="HY314" s="154"/>
      <c r="HZ314" s="154"/>
      <c r="IA314" s="154"/>
      <c r="IB314" s="154"/>
      <c r="IC314" s="154"/>
      <c r="ID314" s="154"/>
      <c r="IE314" s="154"/>
      <c r="IF314" s="154"/>
      <c r="IG314" s="154"/>
      <c r="IH314" s="154"/>
      <c r="II314" s="154"/>
      <c r="IJ314" s="154"/>
      <c r="IK314" s="154"/>
      <c r="IL314" s="154"/>
      <c r="IM314" s="154"/>
      <c r="IN314" s="154"/>
      <c r="IO314" s="154"/>
      <c r="IP314" s="154"/>
      <c r="IQ314" s="154"/>
      <c r="IR314" s="154"/>
    </row>
    <row r="315" spans="1:252" s="136" customFormat="1" x14ac:dyDescent="0.2">
      <c r="A315" s="17"/>
      <c r="B315" s="20">
        <f>Aprekini!B5</f>
        <v>2019</v>
      </c>
      <c r="C315" s="20">
        <f t="shared" ref="C315:AG315" si="804">B315+1</f>
        <v>2020</v>
      </c>
      <c r="D315" s="20">
        <f t="shared" si="804"/>
        <v>2021</v>
      </c>
      <c r="E315" s="20">
        <f t="shared" si="804"/>
        <v>2022</v>
      </c>
      <c r="F315" s="20">
        <f t="shared" si="804"/>
        <v>2023</v>
      </c>
      <c r="G315" s="20">
        <f t="shared" si="804"/>
        <v>2024</v>
      </c>
      <c r="H315" s="20">
        <f t="shared" si="804"/>
        <v>2025</v>
      </c>
      <c r="I315" s="20">
        <f t="shared" si="804"/>
        <v>2026</v>
      </c>
      <c r="J315" s="20">
        <f t="shared" si="804"/>
        <v>2027</v>
      </c>
      <c r="K315" s="20">
        <f t="shared" si="804"/>
        <v>2028</v>
      </c>
      <c r="L315" s="20">
        <f t="shared" si="804"/>
        <v>2029</v>
      </c>
      <c r="M315" s="20">
        <f t="shared" si="804"/>
        <v>2030</v>
      </c>
      <c r="N315" s="20">
        <f t="shared" si="804"/>
        <v>2031</v>
      </c>
      <c r="O315" s="20">
        <f t="shared" si="804"/>
        <v>2032</v>
      </c>
      <c r="P315" s="20">
        <f t="shared" si="804"/>
        <v>2033</v>
      </c>
      <c r="Q315" s="20">
        <f t="shared" si="804"/>
        <v>2034</v>
      </c>
      <c r="R315" s="20">
        <f t="shared" si="804"/>
        <v>2035</v>
      </c>
      <c r="S315" s="20">
        <f t="shared" si="804"/>
        <v>2036</v>
      </c>
      <c r="T315" s="20">
        <f t="shared" si="804"/>
        <v>2037</v>
      </c>
      <c r="U315" s="175">
        <f t="shared" si="804"/>
        <v>2038</v>
      </c>
      <c r="V315" s="175">
        <f t="shared" si="804"/>
        <v>2039</v>
      </c>
      <c r="W315" s="175">
        <f t="shared" si="804"/>
        <v>2040</v>
      </c>
      <c r="X315" s="175">
        <f t="shared" si="804"/>
        <v>2041</v>
      </c>
      <c r="Y315" s="175">
        <f t="shared" si="804"/>
        <v>2042</v>
      </c>
      <c r="Z315" s="175">
        <f t="shared" si="804"/>
        <v>2043</v>
      </c>
      <c r="AA315" s="175">
        <f t="shared" si="804"/>
        <v>2044</v>
      </c>
      <c r="AB315" s="175">
        <f t="shared" si="804"/>
        <v>2045</v>
      </c>
      <c r="AC315" s="175">
        <f t="shared" si="804"/>
        <v>2046</v>
      </c>
      <c r="AD315" s="175">
        <f t="shared" si="804"/>
        <v>2047</v>
      </c>
      <c r="AE315" s="175">
        <f t="shared" si="804"/>
        <v>2048</v>
      </c>
      <c r="AF315" s="175">
        <f t="shared" si="804"/>
        <v>2049</v>
      </c>
      <c r="AG315" s="175">
        <f t="shared" si="804"/>
        <v>2050</v>
      </c>
      <c r="AH315" s="175">
        <f>AG315+1</f>
        <v>2051</v>
      </c>
      <c r="AI315" s="175">
        <f>AH315+1</f>
        <v>2052</v>
      </c>
      <c r="AJ315" s="154"/>
      <c r="AK315" s="154"/>
      <c r="AL315" s="113"/>
      <c r="AM315" s="154"/>
      <c r="AN315" s="133"/>
      <c r="AO315" s="112"/>
      <c r="AP315" s="133"/>
      <c r="AQ315" s="112"/>
      <c r="AR315" s="133"/>
      <c r="AS315" s="154"/>
      <c r="AT315" s="154"/>
      <c r="AU315" s="154"/>
      <c r="AV315" s="154"/>
      <c r="AW315" s="154"/>
      <c r="AX315" s="154"/>
      <c r="AY315" s="154"/>
      <c r="AZ315" s="154"/>
      <c r="BA315" s="154"/>
      <c r="BB315" s="154"/>
      <c r="BC315" s="154"/>
      <c r="BD315" s="154"/>
      <c r="BE315" s="154"/>
      <c r="BF315" s="154"/>
      <c r="BG315" s="154"/>
      <c r="BH315" s="154"/>
      <c r="BI315" s="154"/>
      <c r="BJ315" s="154"/>
      <c r="BK315" s="154"/>
      <c r="BL315" s="154"/>
      <c r="BM315" s="154"/>
      <c r="BN315" s="154"/>
      <c r="BO315" s="154"/>
      <c r="BP315" s="154"/>
      <c r="BQ315" s="154"/>
      <c r="BR315" s="154"/>
      <c r="BS315" s="154"/>
      <c r="BT315" s="154"/>
      <c r="BU315" s="154"/>
      <c r="BV315" s="154"/>
      <c r="BW315" s="154"/>
      <c r="BX315" s="154"/>
      <c r="BY315" s="154"/>
      <c r="BZ315" s="154"/>
      <c r="CA315" s="154"/>
      <c r="CB315" s="154"/>
      <c r="CC315" s="154"/>
      <c r="CD315" s="154"/>
      <c r="CE315" s="154"/>
      <c r="CF315" s="154"/>
      <c r="CG315" s="154"/>
      <c r="CH315" s="154"/>
      <c r="CI315" s="154"/>
      <c r="CJ315" s="154"/>
      <c r="CK315" s="154"/>
      <c r="CL315" s="154"/>
      <c r="CM315" s="154"/>
      <c r="CN315" s="154"/>
      <c r="CO315" s="154"/>
      <c r="CP315" s="154"/>
      <c r="CQ315" s="154"/>
      <c r="CR315" s="154"/>
      <c r="CS315" s="154"/>
      <c r="CT315" s="154"/>
      <c r="CU315" s="154"/>
      <c r="CV315" s="154"/>
      <c r="CW315" s="154"/>
      <c r="CX315" s="154"/>
      <c r="CY315" s="154"/>
      <c r="CZ315" s="154"/>
      <c r="DA315" s="154"/>
      <c r="DB315" s="154"/>
      <c r="DC315" s="154"/>
      <c r="DD315" s="154"/>
      <c r="DE315" s="154"/>
      <c r="DF315" s="154"/>
      <c r="DG315" s="154"/>
      <c r="DH315" s="154"/>
      <c r="DI315" s="154"/>
      <c r="DJ315" s="154"/>
      <c r="DK315" s="154"/>
      <c r="DL315" s="154"/>
      <c r="DM315" s="154"/>
      <c r="DN315" s="154"/>
      <c r="DO315" s="154"/>
      <c r="DP315" s="154"/>
      <c r="DQ315" s="154"/>
      <c r="DR315" s="154"/>
      <c r="DS315" s="154"/>
      <c r="DT315" s="154"/>
      <c r="DU315" s="154"/>
      <c r="DV315" s="154"/>
      <c r="DW315" s="154"/>
      <c r="DX315" s="154"/>
      <c r="DY315" s="154"/>
      <c r="DZ315" s="154"/>
      <c r="EA315" s="154"/>
      <c r="EB315" s="154"/>
      <c r="EC315" s="154"/>
      <c r="ED315" s="154"/>
      <c r="EE315" s="154"/>
      <c r="EF315" s="154"/>
      <c r="EG315" s="154"/>
      <c r="EH315" s="154"/>
      <c r="EI315" s="154"/>
      <c r="EJ315" s="154"/>
      <c r="EK315" s="154"/>
      <c r="EL315" s="154"/>
      <c r="EM315" s="154"/>
      <c r="EN315" s="154"/>
      <c r="EO315" s="154"/>
      <c r="EP315" s="154"/>
      <c r="EQ315" s="154"/>
      <c r="ER315" s="154"/>
      <c r="ES315" s="154"/>
      <c r="ET315" s="154"/>
      <c r="EU315" s="154"/>
      <c r="EV315" s="154"/>
      <c r="EW315" s="154"/>
      <c r="EX315" s="154"/>
      <c r="EY315" s="154"/>
      <c r="EZ315" s="154"/>
      <c r="FA315" s="154"/>
      <c r="FB315" s="154"/>
      <c r="FC315" s="154"/>
      <c r="FD315" s="154"/>
      <c r="FE315" s="154"/>
      <c r="FF315" s="154"/>
      <c r="FG315" s="154"/>
      <c r="FH315" s="154"/>
      <c r="FI315" s="154"/>
      <c r="FJ315" s="154"/>
      <c r="FK315" s="154"/>
      <c r="FL315" s="154"/>
      <c r="FM315" s="154"/>
      <c r="FN315" s="154"/>
      <c r="FO315" s="154"/>
      <c r="FP315" s="154"/>
      <c r="FQ315" s="154"/>
      <c r="FR315" s="154"/>
      <c r="FS315" s="154"/>
      <c r="FT315" s="154"/>
      <c r="FU315" s="154"/>
      <c r="FV315" s="154"/>
      <c r="FW315" s="154"/>
      <c r="FX315" s="154"/>
      <c r="FY315" s="154"/>
      <c r="FZ315" s="154"/>
      <c r="GA315" s="154"/>
      <c r="GB315" s="154"/>
      <c r="GC315" s="154"/>
      <c r="GD315" s="154"/>
      <c r="GE315" s="154"/>
      <c r="GF315" s="154"/>
      <c r="GG315" s="154"/>
      <c r="GH315" s="154"/>
      <c r="GI315" s="154"/>
      <c r="GJ315" s="154"/>
      <c r="GK315" s="154"/>
      <c r="GL315" s="154"/>
      <c r="GM315" s="154"/>
      <c r="GN315" s="154"/>
      <c r="GO315" s="154"/>
      <c r="GP315" s="154"/>
      <c r="GQ315" s="154"/>
      <c r="GR315" s="154"/>
      <c r="GS315" s="154"/>
      <c r="GT315" s="154"/>
      <c r="GU315" s="154"/>
      <c r="GV315" s="154"/>
      <c r="GW315" s="154"/>
      <c r="GX315" s="154"/>
      <c r="GY315" s="154"/>
      <c r="GZ315" s="154"/>
      <c r="HA315" s="154"/>
      <c r="HB315" s="154"/>
      <c r="HC315" s="154"/>
      <c r="HD315" s="154"/>
      <c r="HE315" s="154"/>
      <c r="HF315" s="154"/>
      <c r="HG315" s="154"/>
      <c r="HH315" s="154"/>
      <c r="HI315" s="154"/>
      <c r="HJ315" s="154"/>
      <c r="HK315" s="154"/>
      <c r="HL315" s="154"/>
      <c r="HM315" s="154"/>
      <c r="HN315" s="154"/>
      <c r="HO315" s="154"/>
      <c r="HP315" s="154"/>
      <c r="HQ315" s="154"/>
      <c r="HR315" s="154"/>
      <c r="HS315" s="154"/>
      <c r="HT315" s="154"/>
      <c r="HU315" s="154"/>
      <c r="HV315" s="154"/>
      <c r="HW315" s="154"/>
      <c r="HX315" s="154"/>
      <c r="HY315" s="154"/>
      <c r="HZ315" s="154"/>
      <c r="IA315" s="154"/>
      <c r="IB315" s="154"/>
      <c r="IC315" s="154"/>
      <c r="ID315" s="154"/>
      <c r="IE315" s="154"/>
      <c r="IF315" s="154"/>
      <c r="IG315" s="154"/>
      <c r="IH315" s="154"/>
      <c r="II315" s="154"/>
      <c r="IJ315" s="154"/>
      <c r="IK315" s="154"/>
      <c r="IL315" s="154"/>
      <c r="IM315" s="154"/>
      <c r="IN315" s="154"/>
      <c r="IO315" s="154"/>
      <c r="IP315" s="154"/>
      <c r="IQ315" s="154"/>
      <c r="IR315" s="154"/>
    </row>
    <row r="316" spans="1:252" s="136" customFormat="1" x14ac:dyDescent="0.2">
      <c r="A316" s="232" t="s">
        <v>178</v>
      </c>
      <c r="B316" s="233">
        <f t="shared" ref="B316:AG316" si="805">SUM(B317,B322)</f>
        <v>681344.79599999997</v>
      </c>
      <c r="C316" s="233">
        <f t="shared" si="805"/>
        <v>620864.79399999999</v>
      </c>
      <c r="D316" s="233">
        <f t="shared" si="805"/>
        <v>591226.96853589488</v>
      </c>
      <c r="E316" s="233">
        <f t="shared" si="805"/>
        <v>611392.59354739496</v>
      </c>
      <c r="F316" s="233">
        <f t="shared" si="805"/>
        <v>619822.3715473949</v>
      </c>
      <c r="G316" s="233">
        <f t="shared" si="805"/>
        <v>631112.00754739495</v>
      </c>
      <c r="H316" s="233">
        <f t="shared" si="805"/>
        <v>642749.76354739489</v>
      </c>
      <c r="I316" s="233">
        <f t="shared" si="805"/>
        <v>650831.42154739494</v>
      </c>
      <c r="J316" s="233">
        <f t="shared" si="805"/>
        <v>662469.177547395</v>
      </c>
      <c r="K316" s="233">
        <f t="shared" si="805"/>
        <v>673758.81354739494</v>
      </c>
      <c r="L316" s="233">
        <f t="shared" si="805"/>
        <v>686092.80954739498</v>
      </c>
      <c r="M316" s="233">
        <f t="shared" si="805"/>
        <v>695218.82754739502</v>
      </c>
      <c r="N316" s="233">
        <f t="shared" si="805"/>
        <v>690068.17621098005</v>
      </c>
      <c r="O316" s="233">
        <f t="shared" si="805"/>
        <v>702402.17221097997</v>
      </c>
      <c r="P316" s="233">
        <f t="shared" si="805"/>
        <v>716476.76821097988</v>
      </c>
      <c r="Q316" s="233">
        <f t="shared" si="805"/>
        <v>733759.3422109799</v>
      </c>
      <c r="R316" s="233">
        <f t="shared" si="805"/>
        <v>747833.93821098004</v>
      </c>
      <c r="S316" s="233">
        <f t="shared" si="805"/>
        <v>765116.51221098006</v>
      </c>
      <c r="T316" s="233">
        <f t="shared" si="805"/>
        <v>779191.10821097996</v>
      </c>
      <c r="U316" s="233">
        <f t="shared" si="805"/>
        <v>796473.68221097998</v>
      </c>
      <c r="V316" s="233">
        <f t="shared" si="805"/>
        <v>810896.39821098</v>
      </c>
      <c r="W316" s="233">
        <f t="shared" si="805"/>
        <v>828178.97221098002</v>
      </c>
      <c r="X316" s="233">
        <f t="shared" si="805"/>
        <v>842253.56821097992</v>
      </c>
      <c r="Y316" s="233">
        <f t="shared" si="805"/>
        <v>859536.14221097995</v>
      </c>
      <c r="Z316" s="233">
        <f t="shared" si="805"/>
        <v>873610.73821097997</v>
      </c>
      <c r="AA316" s="233">
        <f t="shared" si="805"/>
        <v>890893.31221097999</v>
      </c>
      <c r="AB316" s="233">
        <f t="shared" si="805"/>
        <v>908872.12621098</v>
      </c>
      <c r="AC316" s="233">
        <f t="shared" si="805"/>
        <v>923991.08221098001</v>
      </c>
      <c r="AD316" s="233">
        <f t="shared" si="805"/>
        <v>941969.8962109799</v>
      </c>
      <c r="AE316" s="233">
        <f t="shared" si="805"/>
        <v>959948.71021097992</v>
      </c>
      <c r="AF316" s="233">
        <f t="shared" si="805"/>
        <v>980016.24421098013</v>
      </c>
      <c r="AG316" s="233">
        <f t="shared" si="805"/>
        <v>999735.65821098001</v>
      </c>
      <c r="AH316" s="233">
        <f>SUM(AH317,AH322)</f>
        <v>1023011.17021098</v>
      </c>
      <c r="AI316" s="233">
        <f>SUM(AI317,AI322)</f>
        <v>1042730.5842109799</v>
      </c>
      <c r="AJ316" s="154"/>
      <c r="AK316" s="154"/>
      <c r="AL316" s="113"/>
      <c r="AM316" s="154"/>
      <c r="AN316" s="133"/>
      <c r="AO316" s="112"/>
      <c r="AP316" s="133"/>
      <c r="AQ316" s="112"/>
      <c r="AR316" s="133"/>
      <c r="AS316" s="154"/>
      <c r="AT316" s="154"/>
      <c r="AU316" s="154"/>
      <c r="AV316" s="154"/>
      <c r="AW316" s="154"/>
      <c r="AX316" s="154"/>
      <c r="AY316" s="154"/>
      <c r="AZ316" s="154"/>
      <c r="BA316" s="154"/>
      <c r="BB316" s="154"/>
      <c r="BC316" s="154"/>
      <c r="BD316" s="154"/>
      <c r="BE316" s="154"/>
      <c r="BF316" s="154"/>
      <c r="BG316" s="154"/>
      <c r="BH316" s="154"/>
      <c r="BI316" s="154"/>
      <c r="BJ316" s="154"/>
      <c r="BK316" s="154"/>
      <c r="BL316" s="154"/>
      <c r="BM316" s="154"/>
      <c r="BN316" s="154"/>
      <c r="BO316" s="154"/>
      <c r="BP316" s="154"/>
      <c r="BQ316" s="154"/>
      <c r="BR316" s="154"/>
      <c r="BS316" s="154"/>
      <c r="BT316" s="154"/>
      <c r="BU316" s="154"/>
      <c r="BV316" s="154"/>
      <c r="BW316" s="154"/>
      <c r="BX316" s="154"/>
      <c r="BY316" s="154"/>
      <c r="BZ316" s="154"/>
      <c r="CA316" s="154"/>
      <c r="CB316" s="154"/>
      <c r="CC316" s="154"/>
      <c r="CD316" s="154"/>
      <c r="CE316" s="154"/>
      <c r="CF316" s="154"/>
      <c r="CG316" s="154"/>
      <c r="CH316" s="154"/>
      <c r="CI316" s="154"/>
      <c r="CJ316" s="154"/>
      <c r="CK316" s="154"/>
      <c r="CL316" s="154"/>
      <c r="CM316" s="154"/>
      <c r="CN316" s="154"/>
      <c r="CO316" s="154"/>
      <c r="CP316" s="154"/>
      <c r="CQ316" s="154"/>
      <c r="CR316" s="154"/>
      <c r="CS316" s="154"/>
      <c r="CT316" s="154"/>
      <c r="CU316" s="154"/>
      <c r="CV316" s="154"/>
      <c r="CW316" s="154"/>
      <c r="CX316" s="154"/>
      <c r="CY316" s="154"/>
      <c r="CZ316" s="154"/>
      <c r="DA316" s="154"/>
      <c r="DB316" s="154"/>
      <c r="DC316" s="154"/>
      <c r="DD316" s="154"/>
      <c r="DE316" s="154"/>
      <c r="DF316" s="154"/>
      <c r="DG316" s="154"/>
      <c r="DH316" s="154"/>
      <c r="DI316" s="154"/>
      <c r="DJ316" s="154"/>
      <c r="DK316" s="154"/>
      <c r="DL316" s="154"/>
      <c r="DM316" s="154"/>
      <c r="DN316" s="154"/>
      <c r="DO316" s="154"/>
      <c r="DP316" s="154"/>
      <c r="DQ316" s="154"/>
      <c r="DR316" s="154"/>
      <c r="DS316" s="154"/>
      <c r="DT316" s="154"/>
      <c r="DU316" s="154"/>
      <c r="DV316" s="154"/>
      <c r="DW316" s="154"/>
      <c r="DX316" s="154"/>
      <c r="DY316" s="154"/>
      <c r="DZ316" s="154"/>
      <c r="EA316" s="154"/>
      <c r="EB316" s="154"/>
      <c r="EC316" s="154"/>
      <c r="ED316" s="154"/>
      <c r="EE316" s="154"/>
      <c r="EF316" s="154"/>
      <c r="EG316" s="154"/>
      <c r="EH316" s="154"/>
      <c r="EI316" s="154"/>
      <c r="EJ316" s="154"/>
      <c r="EK316" s="154"/>
      <c r="EL316" s="154"/>
      <c r="EM316" s="154"/>
      <c r="EN316" s="154"/>
      <c r="EO316" s="154"/>
      <c r="EP316" s="154"/>
      <c r="EQ316" s="154"/>
      <c r="ER316" s="154"/>
      <c r="ES316" s="154"/>
      <c r="ET316" s="154"/>
      <c r="EU316" s="154"/>
      <c r="EV316" s="154"/>
      <c r="EW316" s="154"/>
      <c r="EX316" s="154"/>
      <c r="EY316" s="154"/>
      <c r="EZ316" s="154"/>
      <c r="FA316" s="154"/>
      <c r="FB316" s="154"/>
      <c r="FC316" s="154"/>
      <c r="FD316" s="154"/>
      <c r="FE316" s="154"/>
      <c r="FF316" s="154"/>
      <c r="FG316" s="154"/>
      <c r="FH316" s="154"/>
      <c r="FI316" s="154"/>
      <c r="FJ316" s="154"/>
      <c r="FK316" s="154"/>
      <c r="FL316" s="154"/>
      <c r="FM316" s="154"/>
      <c r="FN316" s="154"/>
      <c r="FO316" s="154"/>
      <c r="FP316" s="154"/>
      <c r="FQ316" s="154"/>
      <c r="FR316" s="154"/>
      <c r="FS316" s="154"/>
      <c r="FT316" s="154"/>
      <c r="FU316" s="154"/>
      <c r="FV316" s="154"/>
      <c r="FW316" s="154"/>
      <c r="FX316" s="154"/>
      <c r="FY316" s="154"/>
      <c r="FZ316" s="154"/>
      <c r="GA316" s="154"/>
      <c r="GB316" s="154"/>
      <c r="GC316" s="154"/>
      <c r="GD316" s="154"/>
      <c r="GE316" s="154"/>
      <c r="GF316" s="154"/>
      <c r="GG316" s="154"/>
      <c r="GH316" s="154"/>
      <c r="GI316" s="154"/>
      <c r="GJ316" s="154"/>
      <c r="GK316" s="154"/>
      <c r="GL316" s="154"/>
      <c r="GM316" s="154"/>
      <c r="GN316" s="154"/>
      <c r="GO316" s="154"/>
      <c r="GP316" s="154"/>
      <c r="GQ316" s="154"/>
      <c r="GR316" s="154"/>
      <c r="GS316" s="154"/>
      <c r="GT316" s="154"/>
      <c r="GU316" s="154"/>
      <c r="GV316" s="154"/>
      <c r="GW316" s="154"/>
      <c r="GX316" s="154"/>
      <c r="GY316" s="154"/>
      <c r="GZ316" s="154"/>
      <c r="HA316" s="154"/>
      <c r="HB316" s="154"/>
      <c r="HC316" s="154"/>
      <c r="HD316" s="154"/>
      <c r="HE316" s="154"/>
      <c r="HF316" s="154"/>
      <c r="HG316" s="154"/>
      <c r="HH316" s="154"/>
      <c r="HI316" s="154"/>
      <c r="HJ316" s="154"/>
      <c r="HK316" s="154"/>
      <c r="HL316" s="154"/>
      <c r="HM316" s="154"/>
      <c r="HN316" s="154"/>
      <c r="HO316" s="154"/>
      <c r="HP316" s="154"/>
      <c r="HQ316" s="154"/>
      <c r="HR316" s="154"/>
      <c r="HS316" s="154"/>
      <c r="HT316" s="154"/>
      <c r="HU316" s="154"/>
      <c r="HV316" s="154"/>
      <c r="HW316" s="154"/>
      <c r="HX316" s="154"/>
      <c r="HY316" s="154"/>
      <c r="HZ316" s="154"/>
      <c r="IA316" s="154"/>
      <c r="IB316" s="154"/>
      <c r="IC316" s="154"/>
      <c r="ID316" s="154"/>
      <c r="IE316" s="154"/>
      <c r="IF316" s="154"/>
      <c r="IG316" s="154"/>
      <c r="IH316" s="154"/>
      <c r="II316" s="154"/>
      <c r="IJ316" s="154"/>
      <c r="IK316" s="154"/>
      <c r="IL316" s="154"/>
      <c r="IM316" s="154"/>
      <c r="IN316" s="154"/>
      <c r="IO316" s="154"/>
      <c r="IP316" s="154"/>
      <c r="IQ316" s="154"/>
      <c r="IR316" s="154"/>
    </row>
    <row r="317" spans="1:252" s="136" customFormat="1" x14ac:dyDescent="0.2">
      <c r="A317" s="234" t="s">
        <v>179</v>
      </c>
      <c r="B317" s="734">
        <f>SUM(B318:B321)</f>
        <v>324831.09999999998</v>
      </c>
      <c r="C317" s="734">
        <f t="shared" ref="C317:AG317" si="806">SUM(C318:C321)</f>
        <v>324831.09999999998</v>
      </c>
      <c r="D317" s="734">
        <f t="shared" si="806"/>
        <v>287280.69919427991</v>
      </c>
      <c r="E317" s="734">
        <f t="shared" si="806"/>
        <v>294602.70919427997</v>
      </c>
      <c r="F317" s="734">
        <f t="shared" si="806"/>
        <v>299824.50919427996</v>
      </c>
      <c r="G317" s="734">
        <f t="shared" si="806"/>
        <v>304698.18919427996</v>
      </c>
      <c r="H317" s="734">
        <f t="shared" si="806"/>
        <v>309919.98919427994</v>
      </c>
      <c r="I317" s="734">
        <f t="shared" si="806"/>
        <v>314793.66919428</v>
      </c>
      <c r="J317" s="734">
        <f t="shared" si="806"/>
        <v>320015.46919427993</v>
      </c>
      <c r="K317" s="734">
        <f t="shared" si="806"/>
        <v>324889.14919427992</v>
      </c>
      <c r="L317" s="734">
        <f t="shared" si="806"/>
        <v>330807.18919427996</v>
      </c>
      <c r="M317" s="734">
        <f t="shared" si="806"/>
        <v>336725.22919427999</v>
      </c>
      <c r="N317" s="734">
        <f t="shared" si="806"/>
        <v>333096.01719948003</v>
      </c>
      <c r="O317" s="734">
        <f t="shared" si="806"/>
        <v>339014.05719948001</v>
      </c>
      <c r="P317" s="734">
        <f t="shared" si="806"/>
        <v>346672.69719947997</v>
      </c>
      <c r="Q317" s="734">
        <f t="shared" si="806"/>
        <v>354331.33719947998</v>
      </c>
      <c r="R317" s="734">
        <f t="shared" si="806"/>
        <v>361989.97719948</v>
      </c>
      <c r="S317" s="734">
        <f t="shared" si="806"/>
        <v>369648.61719948001</v>
      </c>
      <c r="T317" s="734">
        <f t="shared" si="806"/>
        <v>377307.25719948002</v>
      </c>
      <c r="U317" s="734">
        <f t="shared" si="806"/>
        <v>384965.89719947998</v>
      </c>
      <c r="V317" s="734">
        <f t="shared" si="806"/>
        <v>392972.65719947999</v>
      </c>
      <c r="W317" s="734">
        <f t="shared" si="806"/>
        <v>400631.29719948</v>
      </c>
      <c r="X317" s="734">
        <f t="shared" si="806"/>
        <v>408289.93719947996</v>
      </c>
      <c r="Y317" s="734">
        <f t="shared" si="806"/>
        <v>415948.57719947997</v>
      </c>
      <c r="Z317" s="734">
        <f t="shared" si="806"/>
        <v>423607.21719947999</v>
      </c>
      <c r="AA317" s="734">
        <f t="shared" si="806"/>
        <v>431265.85719948</v>
      </c>
      <c r="AB317" s="734">
        <f t="shared" si="806"/>
        <v>439620.73719948001</v>
      </c>
      <c r="AC317" s="734">
        <f t="shared" si="806"/>
        <v>448323.73719948001</v>
      </c>
      <c r="AD317" s="734">
        <f t="shared" si="806"/>
        <v>456678.61719948001</v>
      </c>
      <c r="AE317" s="734">
        <f t="shared" si="806"/>
        <v>465033.49719947996</v>
      </c>
      <c r="AF317" s="734">
        <f t="shared" si="806"/>
        <v>475477.09719948005</v>
      </c>
      <c r="AG317" s="734">
        <f t="shared" si="806"/>
        <v>485572.57719947997</v>
      </c>
      <c r="AH317" s="734">
        <f>SUM(AH318:AH321)</f>
        <v>496016.17719948001</v>
      </c>
      <c r="AI317" s="734">
        <f>SUM(AI318:AI321)</f>
        <v>506111.65719947999</v>
      </c>
      <c r="AJ317" s="154"/>
      <c r="AK317" s="154"/>
      <c r="AL317" s="113"/>
      <c r="AM317" s="154"/>
      <c r="AN317" s="133"/>
      <c r="AO317" s="112"/>
      <c r="AP317" s="133"/>
      <c r="AQ317" s="112"/>
      <c r="AR317" s="133"/>
      <c r="AS317" s="154"/>
      <c r="AT317" s="154"/>
      <c r="AU317" s="154"/>
      <c r="AV317" s="154"/>
      <c r="AW317" s="154"/>
      <c r="AX317" s="154"/>
      <c r="AY317" s="154"/>
      <c r="AZ317" s="154"/>
      <c r="BA317" s="154"/>
      <c r="BB317" s="154"/>
      <c r="BC317" s="154"/>
      <c r="BD317" s="154"/>
      <c r="BE317" s="154"/>
      <c r="BF317" s="154"/>
      <c r="BG317" s="154"/>
      <c r="BH317" s="154"/>
      <c r="BI317" s="154"/>
      <c r="BJ317" s="154"/>
      <c r="BK317" s="154"/>
      <c r="BL317" s="154"/>
      <c r="BM317" s="154"/>
      <c r="BN317" s="154"/>
      <c r="BO317" s="154"/>
      <c r="BP317" s="154"/>
      <c r="BQ317" s="154"/>
      <c r="BR317" s="154"/>
      <c r="BS317" s="154"/>
      <c r="BT317" s="154"/>
      <c r="BU317" s="154"/>
      <c r="BV317" s="154"/>
      <c r="BW317" s="154"/>
      <c r="BX317" s="154"/>
      <c r="BY317" s="154"/>
      <c r="BZ317" s="154"/>
      <c r="CA317" s="154"/>
      <c r="CB317" s="154"/>
      <c r="CC317" s="154"/>
      <c r="CD317" s="154"/>
      <c r="CE317" s="154"/>
      <c r="CF317" s="154"/>
      <c r="CG317" s="154"/>
      <c r="CH317" s="154"/>
      <c r="CI317" s="154"/>
      <c r="CJ317" s="154"/>
      <c r="CK317" s="154"/>
      <c r="CL317" s="154"/>
      <c r="CM317" s="154"/>
      <c r="CN317" s="154"/>
      <c r="CO317" s="154"/>
      <c r="CP317" s="154"/>
      <c r="CQ317" s="154"/>
      <c r="CR317" s="154"/>
      <c r="CS317" s="154"/>
      <c r="CT317" s="154"/>
      <c r="CU317" s="154"/>
      <c r="CV317" s="154"/>
      <c r="CW317" s="154"/>
      <c r="CX317" s="154"/>
      <c r="CY317" s="154"/>
      <c r="CZ317" s="154"/>
      <c r="DA317" s="154"/>
      <c r="DB317" s="154"/>
      <c r="DC317" s="154"/>
      <c r="DD317" s="154"/>
      <c r="DE317" s="154"/>
      <c r="DF317" s="154"/>
      <c r="DG317" s="154"/>
      <c r="DH317" s="154"/>
      <c r="DI317" s="154"/>
      <c r="DJ317" s="154"/>
      <c r="DK317" s="154"/>
      <c r="DL317" s="154"/>
      <c r="DM317" s="154"/>
      <c r="DN317" s="154"/>
      <c r="DO317" s="154"/>
      <c r="DP317" s="154"/>
      <c r="DQ317" s="154"/>
      <c r="DR317" s="154"/>
      <c r="DS317" s="154"/>
      <c r="DT317" s="154"/>
      <c r="DU317" s="154"/>
      <c r="DV317" s="154"/>
      <c r="DW317" s="154"/>
      <c r="DX317" s="154"/>
      <c r="DY317" s="154"/>
      <c r="DZ317" s="154"/>
      <c r="EA317" s="154"/>
      <c r="EB317" s="154"/>
      <c r="EC317" s="154"/>
      <c r="ED317" s="154"/>
      <c r="EE317" s="154"/>
      <c r="EF317" s="154"/>
      <c r="EG317" s="154"/>
      <c r="EH317" s="154"/>
      <c r="EI317" s="154"/>
      <c r="EJ317" s="154"/>
      <c r="EK317" s="154"/>
      <c r="EL317" s="154"/>
      <c r="EM317" s="154"/>
      <c r="EN317" s="154"/>
      <c r="EO317" s="154"/>
      <c r="EP317" s="154"/>
      <c r="EQ317" s="154"/>
      <c r="ER317" s="154"/>
      <c r="ES317" s="154"/>
      <c r="ET317" s="154"/>
      <c r="EU317" s="154"/>
      <c r="EV317" s="154"/>
      <c r="EW317" s="154"/>
      <c r="EX317" s="154"/>
      <c r="EY317" s="154"/>
      <c r="EZ317" s="154"/>
      <c r="FA317" s="154"/>
      <c r="FB317" s="154"/>
      <c r="FC317" s="154"/>
      <c r="FD317" s="154"/>
      <c r="FE317" s="154"/>
      <c r="FF317" s="154"/>
      <c r="FG317" s="154"/>
      <c r="FH317" s="154"/>
      <c r="FI317" s="154"/>
      <c r="FJ317" s="154"/>
      <c r="FK317" s="154"/>
      <c r="FL317" s="154"/>
      <c r="FM317" s="154"/>
      <c r="FN317" s="154"/>
      <c r="FO317" s="154"/>
      <c r="FP317" s="154"/>
      <c r="FQ317" s="154"/>
      <c r="FR317" s="154"/>
      <c r="FS317" s="154"/>
      <c r="FT317" s="154"/>
      <c r="FU317" s="154"/>
      <c r="FV317" s="154"/>
      <c r="FW317" s="154"/>
      <c r="FX317" s="154"/>
      <c r="FY317" s="154"/>
      <c r="FZ317" s="154"/>
      <c r="GA317" s="154"/>
      <c r="GB317" s="154"/>
      <c r="GC317" s="154"/>
      <c r="GD317" s="154"/>
      <c r="GE317" s="154"/>
      <c r="GF317" s="154"/>
      <c r="GG317" s="154"/>
      <c r="GH317" s="154"/>
      <c r="GI317" s="154"/>
      <c r="GJ317" s="154"/>
      <c r="GK317" s="154"/>
      <c r="GL317" s="154"/>
      <c r="GM317" s="154"/>
      <c r="GN317" s="154"/>
      <c r="GO317" s="154"/>
      <c r="GP317" s="154"/>
      <c r="GQ317" s="154"/>
      <c r="GR317" s="154"/>
      <c r="GS317" s="154"/>
      <c r="GT317" s="154"/>
      <c r="GU317" s="154"/>
      <c r="GV317" s="154"/>
      <c r="GW317" s="154"/>
      <c r="GX317" s="154"/>
      <c r="GY317" s="154"/>
      <c r="GZ317" s="154"/>
      <c r="HA317" s="154"/>
      <c r="HB317" s="154"/>
      <c r="HC317" s="154"/>
      <c r="HD317" s="154"/>
      <c r="HE317" s="154"/>
      <c r="HF317" s="154"/>
      <c r="HG317" s="154"/>
      <c r="HH317" s="154"/>
      <c r="HI317" s="154"/>
      <c r="HJ317" s="154"/>
      <c r="HK317" s="154"/>
      <c r="HL317" s="154"/>
      <c r="HM317" s="154"/>
      <c r="HN317" s="154"/>
      <c r="HO317" s="154"/>
      <c r="HP317" s="154"/>
      <c r="HQ317" s="154"/>
      <c r="HR317" s="154"/>
      <c r="HS317" s="154"/>
      <c r="HT317" s="154"/>
      <c r="HU317" s="154"/>
      <c r="HV317" s="154"/>
      <c r="HW317" s="154"/>
      <c r="HX317" s="154"/>
      <c r="HY317" s="154"/>
      <c r="HZ317" s="154"/>
      <c r="IA317" s="154"/>
      <c r="IB317" s="154"/>
      <c r="IC317" s="154"/>
      <c r="ID317" s="154"/>
      <c r="IE317" s="154"/>
      <c r="IF317" s="154"/>
      <c r="IG317" s="154"/>
      <c r="IH317" s="154"/>
      <c r="II317" s="154"/>
      <c r="IJ317" s="154"/>
      <c r="IK317" s="154"/>
      <c r="IL317" s="154"/>
      <c r="IM317" s="154"/>
      <c r="IN317" s="154"/>
      <c r="IO317" s="154"/>
      <c r="IP317" s="154"/>
      <c r="IQ317" s="154"/>
      <c r="IR317" s="154"/>
    </row>
    <row r="318" spans="1:252" s="136" customFormat="1" x14ac:dyDescent="0.2">
      <c r="A318" s="147" t="s">
        <v>180</v>
      </c>
      <c r="B318" s="730">
        <f>'Saimnieciskas pamatdarbibas NP'!B87</f>
        <v>237768.3</v>
      </c>
      <c r="C318" s="730">
        <f>'Saimnieciskas pamatdarbibas NP'!C87</f>
        <v>237768.3</v>
      </c>
      <c r="D318" s="730">
        <f>'Saimnieciskas pamatdarbibas NP'!D87</f>
        <v>207920.78999999998</v>
      </c>
      <c r="E318" s="730">
        <f>'Saimnieciskas pamatdarbibas NP'!E87</f>
        <v>213853.5</v>
      </c>
      <c r="F318" s="730">
        <f>'Saimnieciskas pamatdarbibas NP'!F87</f>
        <v>217685.99999999997</v>
      </c>
      <c r="G318" s="730">
        <f>'Saimnieciskas pamatdarbibas NP'!G87</f>
        <v>221263</v>
      </c>
      <c r="H318" s="730">
        <f>'Saimnieciskas pamatdarbibas NP'!H87</f>
        <v>225095.49999999997</v>
      </c>
      <c r="I318" s="730">
        <f>'Saimnieciskas pamatdarbibas NP'!I87</f>
        <v>228672.50000000003</v>
      </c>
      <c r="J318" s="730">
        <f>'Saimnieciskas pamatdarbibas NP'!J87</f>
        <v>232505</v>
      </c>
      <c r="K318" s="730">
        <f>'Saimnieciskas pamatdarbibas NP'!K87</f>
        <v>236081.99999999997</v>
      </c>
      <c r="L318" s="730">
        <f>'Saimnieciskas pamatdarbibas NP'!L87</f>
        <v>240425.5</v>
      </c>
      <c r="M318" s="730">
        <f>'Saimnieciskas pamatdarbibas NP'!M87</f>
        <v>244769</v>
      </c>
      <c r="N318" s="730">
        <f>'Saimnieciskas pamatdarbibas NP'!N87</f>
        <v>244258.00000000003</v>
      </c>
      <c r="O318" s="730">
        <f>'Saimnieciskas pamatdarbibas NP'!O87</f>
        <v>248601.5</v>
      </c>
      <c r="P318" s="730">
        <f>'Saimnieciskas pamatdarbibas NP'!P87</f>
        <v>254222.49999999997</v>
      </c>
      <c r="Q318" s="730">
        <f>'Saimnieciskas pamatdarbibas NP'!Q87</f>
        <v>259843.49999999997</v>
      </c>
      <c r="R318" s="730">
        <f>'Saimnieciskas pamatdarbibas NP'!R87</f>
        <v>265464.5</v>
      </c>
      <c r="S318" s="730">
        <f>'Saimnieciskas pamatdarbibas NP'!S87</f>
        <v>271085.5</v>
      </c>
      <c r="T318" s="730">
        <f>'Saimnieciskas pamatdarbibas NP'!T87</f>
        <v>276706.5</v>
      </c>
      <c r="U318" s="730">
        <f>'Saimnieciskas pamatdarbibas NP'!U87</f>
        <v>282327.5</v>
      </c>
      <c r="V318" s="730">
        <f>'Saimnieciskas pamatdarbibas NP'!V87</f>
        <v>288204</v>
      </c>
      <c r="W318" s="730">
        <f>'Saimnieciskas pamatdarbibas NP'!W87</f>
        <v>293825</v>
      </c>
      <c r="X318" s="730">
        <f>'Saimnieciskas pamatdarbibas NP'!X87</f>
        <v>299446</v>
      </c>
      <c r="Y318" s="730">
        <f>'Saimnieciskas pamatdarbibas NP'!Y87</f>
        <v>305067</v>
      </c>
      <c r="Z318" s="730">
        <f>'Saimnieciskas pamatdarbibas NP'!Z87</f>
        <v>310688</v>
      </c>
      <c r="AA318" s="730">
        <f>'Saimnieciskas pamatdarbibas NP'!AA87</f>
        <v>316309</v>
      </c>
      <c r="AB318" s="730">
        <f>'Saimnieciskas pamatdarbibas NP'!AB87</f>
        <v>322441</v>
      </c>
      <c r="AC318" s="730">
        <f>'Saimnieciskas pamatdarbibas NP'!AC87</f>
        <v>328828.5</v>
      </c>
      <c r="AD318" s="730">
        <f>'Saimnieciskas pamatdarbibas NP'!AD87</f>
        <v>334960.5</v>
      </c>
      <c r="AE318" s="730">
        <f>'Saimnieciskas pamatdarbibas NP'!AE87</f>
        <v>341092.5</v>
      </c>
      <c r="AF318" s="730">
        <f>'Saimnieciskas pamatdarbibas NP'!AF87</f>
        <v>348757.5</v>
      </c>
      <c r="AG318" s="730">
        <f>'Saimnieciskas pamatdarbibas NP'!AG87</f>
        <v>356167</v>
      </c>
      <c r="AH318" s="730">
        <f>'Saimnieciskas pamatdarbibas NP'!AH87</f>
        <v>363832</v>
      </c>
      <c r="AI318" s="730">
        <f>'Saimnieciskas pamatdarbibas NP'!AI87</f>
        <v>371241.5</v>
      </c>
      <c r="AJ318" s="154"/>
      <c r="AK318" s="154"/>
      <c r="AL318" s="113"/>
      <c r="AM318" s="154"/>
      <c r="AN318" s="133"/>
      <c r="AO318" s="112"/>
      <c r="AP318" s="133"/>
      <c r="AQ318" s="112"/>
      <c r="AR318" s="133"/>
      <c r="AS318" s="154"/>
      <c r="AT318" s="154"/>
      <c r="AU318" s="154"/>
      <c r="AV318" s="154"/>
      <c r="AW318" s="154"/>
      <c r="AX318" s="154"/>
      <c r="AY318" s="154"/>
      <c r="AZ318" s="154"/>
      <c r="BA318" s="154"/>
      <c r="BB318" s="154"/>
      <c r="BC318" s="154"/>
      <c r="BD318" s="154"/>
      <c r="BE318" s="154"/>
      <c r="BF318" s="154"/>
      <c r="BG318" s="154"/>
      <c r="BH318" s="154"/>
      <c r="BI318" s="154"/>
      <c r="BJ318" s="154"/>
      <c r="BK318" s="154"/>
      <c r="BL318" s="154"/>
      <c r="BM318" s="154"/>
      <c r="BN318" s="154"/>
      <c r="BO318" s="154"/>
      <c r="BP318" s="154"/>
      <c r="BQ318" s="154"/>
      <c r="BR318" s="154"/>
      <c r="BS318" s="154"/>
      <c r="BT318" s="154"/>
      <c r="BU318" s="154"/>
      <c r="BV318" s="154"/>
      <c r="BW318" s="154"/>
      <c r="BX318" s="154"/>
      <c r="BY318" s="154"/>
      <c r="BZ318" s="154"/>
      <c r="CA318" s="154"/>
      <c r="CB318" s="154"/>
      <c r="CC318" s="154"/>
      <c r="CD318" s="154"/>
      <c r="CE318" s="154"/>
      <c r="CF318" s="154"/>
      <c r="CG318" s="154"/>
      <c r="CH318" s="154"/>
      <c r="CI318" s="154"/>
      <c r="CJ318" s="154"/>
      <c r="CK318" s="154"/>
      <c r="CL318" s="154"/>
      <c r="CM318" s="154"/>
      <c r="CN318" s="154"/>
      <c r="CO318" s="154"/>
      <c r="CP318" s="154"/>
      <c r="CQ318" s="154"/>
      <c r="CR318" s="154"/>
      <c r="CS318" s="154"/>
      <c r="CT318" s="154"/>
      <c r="CU318" s="154"/>
      <c r="CV318" s="154"/>
      <c r="CW318" s="154"/>
      <c r="CX318" s="154"/>
      <c r="CY318" s="154"/>
      <c r="CZ318" s="154"/>
      <c r="DA318" s="154"/>
      <c r="DB318" s="154"/>
      <c r="DC318" s="154"/>
      <c r="DD318" s="154"/>
      <c r="DE318" s="154"/>
      <c r="DF318" s="154"/>
      <c r="DG318" s="154"/>
      <c r="DH318" s="154"/>
      <c r="DI318" s="154"/>
      <c r="DJ318" s="154"/>
      <c r="DK318" s="154"/>
      <c r="DL318" s="154"/>
      <c r="DM318" s="154"/>
      <c r="DN318" s="154"/>
      <c r="DO318" s="154"/>
      <c r="DP318" s="154"/>
      <c r="DQ318" s="154"/>
      <c r="DR318" s="154"/>
      <c r="DS318" s="154"/>
      <c r="DT318" s="154"/>
      <c r="DU318" s="154"/>
      <c r="DV318" s="154"/>
      <c r="DW318" s="154"/>
      <c r="DX318" s="154"/>
      <c r="DY318" s="154"/>
      <c r="DZ318" s="154"/>
      <c r="EA318" s="154"/>
      <c r="EB318" s="154"/>
      <c r="EC318" s="154"/>
      <c r="ED318" s="154"/>
      <c r="EE318" s="154"/>
      <c r="EF318" s="154"/>
      <c r="EG318" s="154"/>
      <c r="EH318" s="154"/>
      <c r="EI318" s="154"/>
      <c r="EJ318" s="154"/>
      <c r="EK318" s="154"/>
      <c r="EL318" s="154"/>
      <c r="EM318" s="154"/>
      <c r="EN318" s="154"/>
      <c r="EO318" s="154"/>
      <c r="EP318" s="154"/>
      <c r="EQ318" s="154"/>
      <c r="ER318" s="154"/>
      <c r="ES318" s="154"/>
      <c r="ET318" s="154"/>
      <c r="EU318" s="154"/>
      <c r="EV318" s="154"/>
      <c r="EW318" s="154"/>
      <c r="EX318" s="154"/>
      <c r="EY318" s="154"/>
      <c r="EZ318" s="154"/>
      <c r="FA318" s="154"/>
      <c r="FB318" s="154"/>
      <c r="FC318" s="154"/>
      <c r="FD318" s="154"/>
      <c r="FE318" s="154"/>
      <c r="FF318" s="154"/>
      <c r="FG318" s="154"/>
      <c r="FH318" s="154"/>
      <c r="FI318" s="154"/>
      <c r="FJ318" s="154"/>
      <c r="FK318" s="154"/>
      <c r="FL318" s="154"/>
      <c r="FM318" s="154"/>
      <c r="FN318" s="154"/>
      <c r="FO318" s="154"/>
      <c r="FP318" s="154"/>
      <c r="FQ318" s="154"/>
      <c r="FR318" s="154"/>
      <c r="FS318" s="154"/>
      <c r="FT318" s="154"/>
      <c r="FU318" s="154"/>
      <c r="FV318" s="154"/>
      <c r="FW318" s="154"/>
      <c r="FX318" s="154"/>
      <c r="FY318" s="154"/>
      <c r="FZ318" s="154"/>
      <c r="GA318" s="154"/>
      <c r="GB318" s="154"/>
      <c r="GC318" s="154"/>
      <c r="GD318" s="154"/>
      <c r="GE318" s="154"/>
      <c r="GF318" s="154"/>
      <c r="GG318" s="154"/>
      <c r="GH318" s="154"/>
      <c r="GI318" s="154"/>
      <c r="GJ318" s="154"/>
      <c r="GK318" s="154"/>
      <c r="GL318" s="154"/>
      <c r="GM318" s="154"/>
      <c r="GN318" s="154"/>
      <c r="GO318" s="154"/>
      <c r="GP318" s="154"/>
      <c r="GQ318" s="154"/>
      <c r="GR318" s="154"/>
      <c r="GS318" s="154"/>
      <c r="GT318" s="154"/>
      <c r="GU318" s="154"/>
      <c r="GV318" s="154"/>
      <c r="GW318" s="154"/>
      <c r="GX318" s="154"/>
      <c r="GY318" s="154"/>
      <c r="GZ318" s="154"/>
      <c r="HA318" s="154"/>
      <c r="HB318" s="154"/>
      <c r="HC318" s="154"/>
      <c r="HD318" s="154"/>
      <c r="HE318" s="154"/>
      <c r="HF318" s="154"/>
      <c r="HG318" s="154"/>
      <c r="HH318" s="154"/>
      <c r="HI318" s="154"/>
      <c r="HJ318" s="154"/>
      <c r="HK318" s="154"/>
      <c r="HL318" s="154"/>
      <c r="HM318" s="154"/>
      <c r="HN318" s="154"/>
      <c r="HO318" s="154"/>
      <c r="HP318" s="154"/>
      <c r="HQ318" s="154"/>
      <c r="HR318" s="154"/>
      <c r="HS318" s="154"/>
      <c r="HT318" s="154"/>
      <c r="HU318" s="154"/>
      <c r="HV318" s="154"/>
      <c r="HW318" s="154"/>
      <c r="HX318" s="154"/>
      <c r="HY318" s="154"/>
      <c r="HZ318" s="154"/>
      <c r="IA318" s="154"/>
      <c r="IB318" s="154"/>
      <c r="IC318" s="154"/>
      <c r="ID318" s="154"/>
      <c r="IE318" s="154"/>
      <c r="IF318" s="154"/>
      <c r="IG318" s="154"/>
      <c r="IH318" s="154"/>
      <c r="II318" s="154"/>
      <c r="IJ318" s="154"/>
      <c r="IK318" s="154"/>
      <c r="IL318" s="154"/>
      <c r="IM318" s="154"/>
      <c r="IN318" s="154"/>
      <c r="IO318" s="154"/>
      <c r="IP318" s="154"/>
      <c r="IQ318" s="154"/>
      <c r="IR318" s="154"/>
    </row>
    <row r="319" spans="1:252" s="136" customFormat="1" x14ac:dyDescent="0.2">
      <c r="A319" s="147" t="s">
        <v>181</v>
      </c>
      <c r="B319" s="730">
        <f>'Saimnieciskas pamatdarbibas NP'!B88</f>
        <v>37468.400000000001</v>
      </c>
      <c r="C319" s="730">
        <f>'Saimnieciskas pamatdarbibas NP'!C88</f>
        <v>37468.400000000001</v>
      </c>
      <c r="D319" s="730">
        <f>'Saimnieciskas pamatdarbibas NP'!D88</f>
        <v>32764.92</v>
      </c>
      <c r="E319" s="730">
        <f>'Saimnieciskas pamatdarbibas NP'!E88</f>
        <v>33362.82</v>
      </c>
      <c r="F319" s="730">
        <f>'Saimnieciskas pamatdarbibas NP'!F88</f>
        <v>33960.719999999994</v>
      </c>
      <c r="G319" s="730">
        <f>'Saimnieciskas pamatdarbibas NP'!G88</f>
        <v>34518.76</v>
      </c>
      <c r="H319" s="730">
        <f>'Saimnieciskas pamatdarbibas NP'!H88</f>
        <v>35116.659999999996</v>
      </c>
      <c r="I319" s="730">
        <f>'Saimnieciskas pamatdarbibas NP'!I88</f>
        <v>35674.700000000004</v>
      </c>
      <c r="J319" s="730">
        <f>'Saimnieciskas pamatdarbibas NP'!J88</f>
        <v>36272.6</v>
      </c>
      <c r="K319" s="730">
        <f>'Saimnieciskas pamatdarbibas NP'!K88</f>
        <v>36830.639999999999</v>
      </c>
      <c r="L319" s="730">
        <f>'Saimnieciskas pamatdarbibas NP'!L88</f>
        <v>37508.259999999995</v>
      </c>
      <c r="M319" s="730">
        <f>'Saimnieciskas pamatdarbibas NP'!M88</f>
        <v>38185.879999999997</v>
      </c>
      <c r="N319" s="730">
        <f>'Saimnieciskas pamatdarbibas NP'!N88</f>
        <v>38106.160000000003</v>
      </c>
      <c r="O319" s="730">
        <f>'Saimnieciskas pamatdarbibas NP'!O88</f>
        <v>38783.78</v>
      </c>
      <c r="P319" s="730">
        <f>'Saimnieciskas pamatdarbibas NP'!P88</f>
        <v>39660.699999999997</v>
      </c>
      <c r="Q319" s="730">
        <f>'Saimnieciskas pamatdarbibas NP'!Q88</f>
        <v>40537.619999999995</v>
      </c>
      <c r="R319" s="730">
        <f>'Saimnieciskas pamatdarbibas NP'!R88</f>
        <v>41414.539999999994</v>
      </c>
      <c r="S319" s="730">
        <f>'Saimnieciskas pamatdarbibas NP'!S88</f>
        <v>42291.46</v>
      </c>
      <c r="T319" s="730">
        <f>'Saimnieciskas pamatdarbibas NP'!T88</f>
        <v>43168.38</v>
      </c>
      <c r="U319" s="730">
        <f>'Saimnieciskas pamatdarbibas NP'!U88</f>
        <v>44045.3</v>
      </c>
      <c r="V319" s="730">
        <f>'Saimnieciskas pamatdarbibas NP'!V88</f>
        <v>44962.079999999994</v>
      </c>
      <c r="W319" s="730">
        <f>'Saimnieciskas pamatdarbibas NP'!W88</f>
        <v>45839</v>
      </c>
      <c r="X319" s="730">
        <f>'Saimnieciskas pamatdarbibas NP'!X88</f>
        <v>46715.92</v>
      </c>
      <c r="Y319" s="730">
        <f>'Saimnieciskas pamatdarbibas NP'!Y88</f>
        <v>47592.84</v>
      </c>
      <c r="Z319" s="730">
        <f>'Saimnieciskas pamatdarbibas NP'!Z88</f>
        <v>48469.760000000002</v>
      </c>
      <c r="AA319" s="730">
        <f>'Saimnieciskas pamatdarbibas NP'!AA88</f>
        <v>49346.68</v>
      </c>
      <c r="AB319" s="730">
        <f>'Saimnieciskas pamatdarbibas NP'!AB88</f>
        <v>50303.32</v>
      </c>
      <c r="AC319" s="730">
        <f>'Saimnieciskas pamatdarbibas NP'!AC88</f>
        <v>51299.82</v>
      </c>
      <c r="AD319" s="730">
        <f>'Saimnieciskas pamatdarbibas NP'!AD88</f>
        <v>52256.46</v>
      </c>
      <c r="AE319" s="730">
        <f>'Saimnieciskas pamatdarbibas NP'!AE88</f>
        <v>53213.1</v>
      </c>
      <c r="AF319" s="730">
        <f>'Saimnieciskas pamatdarbibas NP'!AF88</f>
        <v>54408.9</v>
      </c>
      <c r="AG319" s="730">
        <f>'Saimnieciskas pamatdarbibas NP'!AG88</f>
        <v>55564.84</v>
      </c>
      <c r="AH319" s="730">
        <f>'Saimnieciskas pamatdarbibas NP'!AH88</f>
        <v>56760.639999999999</v>
      </c>
      <c r="AI319" s="730">
        <f>'Saimnieciskas pamatdarbibas NP'!AI88</f>
        <v>57916.58</v>
      </c>
      <c r="AJ319" s="154"/>
      <c r="AK319" s="154"/>
      <c r="AL319" s="113"/>
      <c r="AM319" s="154"/>
      <c r="AN319" s="133"/>
      <c r="AO319" s="112"/>
      <c r="AP319" s="133"/>
      <c r="AQ319" s="112"/>
      <c r="AR319" s="133"/>
      <c r="AS319" s="154"/>
      <c r="AT319" s="154"/>
      <c r="AU319" s="154"/>
      <c r="AV319" s="154"/>
      <c r="AW319" s="154"/>
      <c r="AX319" s="154"/>
      <c r="AY319" s="154"/>
      <c r="AZ319" s="154"/>
      <c r="BA319" s="154"/>
      <c r="BB319" s="154"/>
      <c r="BC319" s="154"/>
      <c r="BD319" s="154"/>
      <c r="BE319" s="154"/>
      <c r="BF319" s="154"/>
      <c r="BG319" s="154"/>
      <c r="BH319" s="154"/>
      <c r="BI319" s="154"/>
      <c r="BJ319" s="154"/>
      <c r="BK319" s="154"/>
      <c r="BL319" s="154"/>
      <c r="BM319" s="154"/>
      <c r="BN319" s="154"/>
      <c r="BO319" s="154"/>
      <c r="BP319" s="154"/>
      <c r="BQ319" s="154"/>
      <c r="BR319" s="154"/>
      <c r="BS319" s="154"/>
      <c r="BT319" s="154"/>
      <c r="BU319" s="154"/>
      <c r="BV319" s="154"/>
      <c r="BW319" s="154"/>
      <c r="BX319" s="154"/>
      <c r="BY319" s="154"/>
      <c r="BZ319" s="154"/>
      <c r="CA319" s="154"/>
      <c r="CB319" s="154"/>
      <c r="CC319" s="154"/>
      <c r="CD319" s="154"/>
      <c r="CE319" s="154"/>
      <c r="CF319" s="154"/>
      <c r="CG319" s="154"/>
      <c r="CH319" s="154"/>
      <c r="CI319" s="154"/>
      <c r="CJ319" s="154"/>
      <c r="CK319" s="154"/>
      <c r="CL319" s="154"/>
      <c r="CM319" s="154"/>
      <c r="CN319" s="154"/>
      <c r="CO319" s="154"/>
      <c r="CP319" s="154"/>
      <c r="CQ319" s="154"/>
      <c r="CR319" s="154"/>
      <c r="CS319" s="154"/>
      <c r="CT319" s="154"/>
      <c r="CU319" s="154"/>
      <c r="CV319" s="154"/>
      <c r="CW319" s="154"/>
      <c r="CX319" s="154"/>
      <c r="CY319" s="154"/>
      <c r="CZ319" s="154"/>
      <c r="DA319" s="154"/>
      <c r="DB319" s="154"/>
      <c r="DC319" s="154"/>
      <c r="DD319" s="154"/>
      <c r="DE319" s="154"/>
      <c r="DF319" s="154"/>
      <c r="DG319" s="154"/>
      <c r="DH319" s="154"/>
      <c r="DI319" s="154"/>
      <c r="DJ319" s="154"/>
      <c r="DK319" s="154"/>
      <c r="DL319" s="154"/>
      <c r="DM319" s="154"/>
      <c r="DN319" s="154"/>
      <c r="DO319" s="154"/>
      <c r="DP319" s="154"/>
      <c r="DQ319" s="154"/>
      <c r="DR319" s="154"/>
      <c r="DS319" s="154"/>
      <c r="DT319" s="154"/>
      <c r="DU319" s="154"/>
      <c r="DV319" s="154"/>
      <c r="DW319" s="154"/>
      <c r="DX319" s="154"/>
      <c r="DY319" s="154"/>
      <c r="DZ319" s="154"/>
      <c r="EA319" s="154"/>
      <c r="EB319" s="154"/>
      <c r="EC319" s="154"/>
      <c r="ED319" s="154"/>
      <c r="EE319" s="154"/>
      <c r="EF319" s="154"/>
      <c r="EG319" s="154"/>
      <c r="EH319" s="154"/>
      <c r="EI319" s="154"/>
      <c r="EJ319" s="154"/>
      <c r="EK319" s="154"/>
      <c r="EL319" s="154"/>
      <c r="EM319" s="154"/>
      <c r="EN319" s="154"/>
      <c r="EO319" s="154"/>
      <c r="EP319" s="154"/>
      <c r="EQ319" s="154"/>
      <c r="ER319" s="154"/>
      <c r="ES319" s="154"/>
      <c r="ET319" s="154"/>
      <c r="EU319" s="154"/>
      <c r="EV319" s="154"/>
      <c r="EW319" s="154"/>
      <c r="EX319" s="154"/>
      <c r="EY319" s="154"/>
      <c r="EZ319" s="154"/>
      <c r="FA319" s="154"/>
      <c r="FB319" s="154"/>
      <c r="FC319" s="154"/>
      <c r="FD319" s="154"/>
      <c r="FE319" s="154"/>
      <c r="FF319" s="154"/>
      <c r="FG319" s="154"/>
      <c r="FH319" s="154"/>
      <c r="FI319" s="154"/>
      <c r="FJ319" s="154"/>
      <c r="FK319" s="154"/>
      <c r="FL319" s="154"/>
      <c r="FM319" s="154"/>
      <c r="FN319" s="154"/>
      <c r="FO319" s="154"/>
      <c r="FP319" s="154"/>
      <c r="FQ319" s="154"/>
      <c r="FR319" s="154"/>
      <c r="FS319" s="154"/>
      <c r="FT319" s="154"/>
      <c r="FU319" s="154"/>
      <c r="FV319" s="154"/>
      <c r="FW319" s="154"/>
      <c r="FX319" s="154"/>
      <c r="FY319" s="154"/>
      <c r="FZ319" s="154"/>
      <c r="GA319" s="154"/>
      <c r="GB319" s="154"/>
      <c r="GC319" s="154"/>
      <c r="GD319" s="154"/>
      <c r="GE319" s="154"/>
      <c r="GF319" s="154"/>
      <c r="GG319" s="154"/>
      <c r="GH319" s="154"/>
      <c r="GI319" s="154"/>
      <c r="GJ319" s="154"/>
      <c r="GK319" s="154"/>
      <c r="GL319" s="154"/>
      <c r="GM319" s="154"/>
      <c r="GN319" s="154"/>
      <c r="GO319" s="154"/>
      <c r="GP319" s="154"/>
      <c r="GQ319" s="154"/>
      <c r="GR319" s="154"/>
      <c r="GS319" s="154"/>
      <c r="GT319" s="154"/>
      <c r="GU319" s="154"/>
      <c r="GV319" s="154"/>
      <c r="GW319" s="154"/>
      <c r="GX319" s="154"/>
      <c r="GY319" s="154"/>
      <c r="GZ319" s="154"/>
      <c r="HA319" s="154"/>
      <c r="HB319" s="154"/>
      <c r="HC319" s="154"/>
      <c r="HD319" s="154"/>
      <c r="HE319" s="154"/>
      <c r="HF319" s="154"/>
      <c r="HG319" s="154"/>
      <c r="HH319" s="154"/>
      <c r="HI319" s="154"/>
      <c r="HJ319" s="154"/>
      <c r="HK319" s="154"/>
      <c r="HL319" s="154"/>
      <c r="HM319" s="154"/>
      <c r="HN319" s="154"/>
      <c r="HO319" s="154"/>
      <c r="HP319" s="154"/>
      <c r="HQ319" s="154"/>
      <c r="HR319" s="154"/>
      <c r="HS319" s="154"/>
      <c r="HT319" s="154"/>
      <c r="HU319" s="154"/>
      <c r="HV319" s="154"/>
      <c r="HW319" s="154"/>
      <c r="HX319" s="154"/>
      <c r="HY319" s="154"/>
      <c r="HZ319" s="154"/>
      <c r="IA319" s="154"/>
      <c r="IB319" s="154"/>
      <c r="IC319" s="154"/>
      <c r="ID319" s="154"/>
      <c r="IE319" s="154"/>
      <c r="IF319" s="154"/>
      <c r="IG319" s="154"/>
      <c r="IH319" s="154"/>
      <c r="II319" s="154"/>
      <c r="IJ319" s="154"/>
      <c r="IK319" s="154"/>
      <c r="IL319" s="154"/>
      <c r="IM319" s="154"/>
      <c r="IN319" s="154"/>
      <c r="IO319" s="154"/>
      <c r="IP319" s="154"/>
      <c r="IQ319" s="154"/>
      <c r="IR319" s="154"/>
    </row>
    <row r="320" spans="1:252" s="136" customFormat="1" x14ac:dyDescent="0.2">
      <c r="A320" s="147" t="s">
        <v>182</v>
      </c>
      <c r="B320" s="730">
        <f>'Saimnieciskas pamatdarbibas NP'!B89</f>
        <v>49594.399999999994</v>
      </c>
      <c r="C320" s="730">
        <f>'Saimnieciskas pamatdarbibas NP'!C89</f>
        <v>49594.399999999994</v>
      </c>
      <c r="D320" s="730">
        <f>'Saimnieciskas pamatdarbibas NP'!D89</f>
        <v>43368.719999999994</v>
      </c>
      <c r="E320" s="730">
        <f>'Saimnieciskas pamatdarbibas NP'!E89</f>
        <v>44160.119999999995</v>
      </c>
      <c r="F320" s="730">
        <f>'Saimnieciskas pamatdarbibas NP'!F89</f>
        <v>44951.51999999999</v>
      </c>
      <c r="G320" s="730">
        <f>'Saimnieciskas pamatdarbibas NP'!G89</f>
        <v>45690.159999999996</v>
      </c>
      <c r="H320" s="730">
        <f>'Saimnieciskas pamatdarbibas NP'!H89</f>
        <v>46481.56</v>
      </c>
      <c r="I320" s="730">
        <f>'Saimnieciskas pamatdarbibas NP'!I89</f>
        <v>47220.200000000004</v>
      </c>
      <c r="J320" s="730">
        <f>'Saimnieciskas pamatdarbibas NP'!J89</f>
        <v>48011.6</v>
      </c>
      <c r="K320" s="730">
        <f>'Saimnieciskas pamatdarbibas NP'!K89</f>
        <v>48750.239999999998</v>
      </c>
      <c r="L320" s="730">
        <f>'Saimnieciskas pamatdarbibas NP'!L89</f>
        <v>49647.159999999996</v>
      </c>
      <c r="M320" s="730">
        <f>'Saimnieciskas pamatdarbibas NP'!M89</f>
        <v>50544.079999999994</v>
      </c>
      <c r="N320" s="730">
        <f>'Saimnieciskas pamatdarbibas NP'!N89</f>
        <v>50438.560000000005</v>
      </c>
      <c r="O320" s="730">
        <f>'Saimnieciskas pamatdarbibas NP'!O89</f>
        <v>51335.479999999996</v>
      </c>
      <c r="P320" s="730">
        <f>'Saimnieciskas pamatdarbibas NP'!P89</f>
        <v>52496.2</v>
      </c>
      <c r="Q320" s="730">
        <f>'Saimnieciskas pamatdarbibas NP'!Q89</f>
        <v>53656.92</v>
      </c>
      <c r="R320" s="730">
        <f>'Saimnieciskas pamatdarbibas NP'!R89</f>
        <v>54817.64</v>
      </c>
      <c r="S320" s="730">
        <f>'Saimnieciskas pamatdarbibas NP'!S89</f>
        <v>55978.36</v>
      </c>
      <c r="T320" s="730">
        <f>'Saimnieciskas pamatdarbibas NP'!T89</f>
        <v>57139.079999999994</v>
      </c>
      <c r="U320" s="730">
        <f>'Saimnieciskas pamatdarbibas NP'!U89</f>
        <v>58299.799999999996</v>
      </c>
      <c r="V320" s="730">
        <f>'Saimnieciskas pamatdarbibas NP'!V89</f>
        <v>59513.279999999992</v>
      </c>
      <c r="W320" s="730">
        <f>'Saimnieciskas pamatdarbibas NP'!W89</f>
        <v>60673.999999999993</v>
      </c>
      <c r="X320" s="730">
        <f>'Saimnieciskas pamatdarbibas NP'!X89</f>
        <v>61834.719999999994</v>
      </c>
      <c r="Y320" s="730">
        <f>'Saimnieciskas pamatdarbibas NP'!Y89</f>
        <v>62995.439999999995</v>
      </c>
      <c r="Z320" s="730">
        <f>'Saimnieciskas pamatdarbibas NP'!Z89</f>
        <v>64156.159999999996</v>
      </c>
      <c r="AA320" s="730">
        <f>'Saimnieciskas pamatdarbibas NP'!AA89</f>
        <v>65316.88</v>
      </c>
      <c r="AB320" s="730">
        <f>'Saimnieciskas pamatdarbibas NP'!AB89</f>
        <v>66583.12</v>
      </c>
      <c r="AC320" s="730">
        <f>'Saimnieciskas pamatdarbibas NP'!AC89</f>
        <v>67902.12</v>
      </c>
      <c r="AD320" s="730">
        <f>'Saimnieciskas pamatdarbibas NP'!AD89</f>
        <v>69168.36</v>
      </c>
      <c r="AE320" s="730">
        <f>'Saimnieciskas pamatdarbibas NP'!AE89</f>
        <v>70434.599999999991</v>
      </c>
      <c r="AF320" s="730">
        <f>'Saimnieciskas pamatdarbibas NP'!AF89</f>
        <v>72017.399999999994</v>
      </c>
      <c r="AG320" s="730">
        <f>'Saimnieciskas pamatdarbibas NP'!AG89</f>
        <v>73547.439999999988</v>
      </c>
      <c r="AH320" s="730">
        <f>'Saimnieciskas pamatdarbibas NP'!AH89</f>
        <v>75130.239999999991</v>
      </c>
      <c r="AI320" s="730">
        <f>'Saimnieciskas pamatdarbibas NP'!AI89</f>
        <v>76660.28</v>
      </c>
      <c r="AJ320" s="154"/>
      <c r="AK320" s="154"/>
      <c r="AL320" s="113"/>
      <c r="AM320" s="154"/>
      <c r="AN320" s="133"/>
      <c r="AO320" s="112"/>
      <c r="AP320" s="133"/>
      <c r="AQ320" s="112"/>
      <c r="AR320" s="133"/>
      <c r="AS320" s="154"/>
      <c r="AT320" s="154"/>
      <c r="AU320" s="154"/>
      <c r="AV320" s="154"/>
      <c r="AW320" s="154"/>
      <c r="AX320" s="154"/>
      <c r="AY320" s="154"/>
      <c r="AZ320" s="154"/>
      <c r="BA320" s="154"/>
      <c r="BB320" s="154"/>
      <c r="BC320" s="154"/>
      <c r="BD320" s="154"/>
      <c r="BE320" s="154"/>
      <c r="BF320" s="154"/>
      <c r="BG320" s="154"/>
      <c r="BH320" s="154"/>
      <c r="BI320" s="154"/>
      <c r="BJ320" s="154"/>
      <c r="BK320" s="154"/>
      <c r="BL320" s="154"/>
      <c r="BM320" s="154"/>
      <c r="BN320" s="154"/>
      <c r="BO320" s="154"/>
      <c r="BP320" s="154"/>
      <c r="BQ320" s="154"/>
      <c r="BR320" s="154"/>
      <c r="BS320" s="154"/>
      <c r="BT320" s="154"/>
      <c r="BU320" s="154"/>
      <c r="BV320" s="154"/>
      <c r="BW320" s="154"/>
      <c r="BX320" s="154"/>
      <c r="BY320" s="154"/>
      <c r="BZ320" s="154"/>
      <c r="CA320" s="154"/>
      <c r="CB320" s="154"/>
      <c r="CC320" s="154"/>
      <c r="CD320" s="154"/>
      <c r="CE320" s="154"/>
      <c r="CF320" s="154"/>
      <c r="CG320" s="154"/>
      <c r="CH320" s="154"/>
      <c r="CI320" s="154"/>
      <c r="CJ320" s="154"/>
      <c r="CK320" s="154"/>
      <c r="CL320" s="154"/>
      <c r="CM320" s="154"/>
      <c r="CN320" s="154"/>
      <c r="CO320" s="154"/>
      <c r="CP320" s="154"/>
      <c r="CQ320" s="154"/>
      <c r="CR320" s="154"/>
      <c r="CS320" s="154"/>
      <c r="CT320" s="154"/>
      <c r="CU320" s="154"/>
      <c r="CV320" s="154"/>
      <c r="CW320" s="154"/>
      <c r="CX320" s="154"/>
      <c r="CY320" s="154"/>
      <c r="CZ320" s="154"/>
      <c r="DA320" s="154"/>
      <c r="DB320" s="154"/>
      <c r="DC320" s="154"/>
      <c r="DD320" s="154"/>
      <c r="DE320" s="154"/>
      <c r="DF320" s="154"/>
      <c r="DG320" s="154"/>
      <c r="DH320" s="154"/>
      <c r="DI320" s="154"/>
      <c r="DJ320" s="154"/>
      <c r="DK320" s="154"/>
      <c r="DL320" s="154"/>
      <c r="DM320" s="154"/>
      <c r="DN320" s="154"/>
      <c r="DO320" s="154"/>
      <c r="DP320" s="154"/>
      <c r="DQ320" s="154"/>
      <c r="DR320" s="154"/>
      <c r="DS320" s="154"/>
      <c r="DT320" s="154"/>
      <c r="DU320" s="154"/>
      <c r="DV320" s="154"/>
      <c r="DW320" s="154"/>
      <c r="DX320" s="154"/>
      <c r="DY320" s="154"/>
      <c r="DZ320" s="154"/>
      <c r="EA320" s="154"/>
      <c r="EB320" s="154"/>
      <c r="EC320" s="154"/>
      <c r="ED320" s="154"/>
      <c r="EE320" s="154"/>
      <c r="EF320" s="154"/>
      <c r="EG320" s="154"/>
      <c r="EH320" s="154"/>
      <c r="EI320" s="154"/>
      <c r="EJ320" s="154"/>
      <c r="EK320" s="154"/>
      <c r="EL320" s="154"/>
      <c r="EM320" s="154"/>
      <c r="EN320" s="154"/>
      <c r="EO320" s="154"/>
      <c r="EP320" s="154"/>
      <c r="EQ320" s="154"/>
      <c r="ER320" s="154"/>
      <c r="ES320" s="154"/>
      <c r="ET320" s="154"/>
      <c r="EU320" s="154"/>
      <c r="EV320" s="154"/>
      <c r="EW320" s="154"/>
      <c r="EX320" s="154"/>
      <c r="EY320" s="154"/>
      <c r="EZ320" s="154"/>
      <c r="FA320" s="154"/>
      <c r="FB320" s="154"/>
      <c r="FC320" s="154"/>
      <c r="FD320" s="154"/>
      <c r="FE320" s="154"/>
      <c r="FF320" s="154"/>
      <c r="FG320" s="154"/>
      <c r="FH320" s="154"/>
      <c r="FI320" s="154"/>
      <c r="FJ320" s="154"/>
      <c r="FK320" s="154"/>
      <c r="FL320" s="154"/>
      <c r="FM320" s="154"/>
      <c r="FN320" s="154"/>
      <c r="FO320" s="154"/>
      <c r="FP320" s="154"/>
      <c r="FQ320" s="154"/>
      <c r="FR320" s="154"/>
      <c r="FS320" s="154"/>
      <c r="FT320" s="154"/>
      <c r="FU320" s="154"/>
      <c r="FV320" s="154"/>
      <c r="FW320" s="154"/>
      <c r="FX320" s="154"/>
      <c r="FY320" s="154"/>
      <c r="FZ320" s="154"/>
      <c r="GA320" s="154"/>
      <c r="GB320" s="154"/>
      <c r="GC320" s="154"/>
      <c r="GD320" s="154"/>
      <c r="GE320" s="154"/>
      <c r="GF320" s="154"/>
      <c r="GG320" s="154"/>
      <c r="GH320" s="154"/>
      <c r="GI320" s="154"/>
      <c r="GJ320" s="154"/>
      <c r="GK320" s="154"/>
      <c r="GL320" s="154"/>
      <c r="GM320" s="154"/>
      <c r="GN320" s="154"/>
      <c r="GO320" s="154"/>
      <c r="GP320" s="154"/>
      <c r="GQ320" s="154"/>
      <c r="GR320" s="154"/>
      <c r="GS320" s="154"/>
      <c r="GT320" s="154"/>
      <c r="GU320" s="154"/>
      <c r="GV320" s="154"/>
      <c r="GW320" s="154"/>
      <c r="GX320" s="154"/>
      <c r="GY320" s="154"/>
      <c r="GZ320" s="154"/>
      <c r="HA320" s="154"/>
      <c r="HB320" s="154"/>
      <c r="HC320" s="154"/>
      <c r="HD320" s="154"/>
      <c r="HE320" s="154"/>
      <c r="HF320" s="154"/>
      <c r="HG320" s="154"/>
      <c r="HH320" s="154"/>
      <c r="HI320" s="154"/>
      <c r="HJ320" s="154"/>
      <c r="HK320" s="154"/>
      <c r="HL320" s="154"/>
      <c r="HM320" s="154"/>
      <c r="HN320" s="154"/>
      <c r="HO320" s="154"/>
      <c r="HP320" s="154"/>
      <c r="HQ320" s="154"/>
      <c r="HR320" s="154"/>
      <c r="HS320" s="154"/>
      <c r="HT320" s="154"/>
      <c r="HU320" s="154"/>
      <c r="HV320" s="154"/>
      <c r="HW320" s="154"/>
      <c r="HX320" s="154"/>
      <c r="HY320" s="154"/>
      <c r="HZ320" s="154"/>
      <c r="IA320" s="154"/>
      <c r="IB320" s="154"/>
      <c r="IC320" s="154"/>
      <c r="ID320" s="154"/>
      <c r="IE320" s="154"/>
      <c r="IF320" s="154"/>
      <c r="IG320" s="154"/>
      <c r="IH320" s="154"/>
      <c r="II320" s="154"/>
      <c r="IJ320" s="154"/>
      <c r="IK320" s="154"/>
      <c r="IL320" s="154"/>
      <c r="IM320" s="154"/>
      <c r="IN320" s="154"/>
      <c r="IO320" s="154"/>
      <c r="IP320" s="154"/>
      <c r="IQ320" s="154"/>
      <c r="IR320" s="154"/>
    </row>
    <row r="321" spans="1:252" s="183" customFormat="1" x14ac:dyDescent="0.2">
      <c r="A321" s="213" t="s">
        <v>604</v>
      </c>
      <c r="B321" s="731">
        <f t="shared" ref="B321:AH321" si="807">SUM(B81,B87,B93)*$B$215</f>
        <v>0</v>
      </c>
      <c r="C321" s="731">
        <f t="shared" si="807"/>
        <v>0</v>
      </c>
      <c r="D321" s="735">
        <f>SUM(D81,D87,D93)*$B$215</f>
        <v>3226.2691942800002</v>
      </c>
      <c r="E321" s="735">
        <f t="shared" si="807"/>
        <v>3226.2691942800002</v>
      </c>
      <c r="F321" s="735">
        <f t="shared" si="807"/>
        <v>3226.2691942800002</v>
      </c>
      <c r="G321" s="735">
        <f t="shared" si="807"/>
        <v>3226.2691942800002</v>
      </c>
      <c r="H321" s="735">
        <f t="shared" si="807"/>
        <v>3226.2691942800002</v>
      </c>
      <c r="I321" s="735">
        <f t="shared" si="807"/>
        <v>3226.2691942800002</v>
      </c>
      <c r="J321" s="735">
        <f t="shared" si="807"/>
        <v>3226.2691942800002</v>
      </c>
      <c r="K321" s="735">
        <f t="shared" si="807"/>
        <v>3226.2691942800002</v>
      </c>
      <c r="L321" s="735">
        <f t="shared" si="807"/>
        <v>3226.2691942800002</v>
      </c>
      <c r="M321" s="735">
        <f t="shared" si="807"/>
        <v>3226.2691942800002</v>
      </c>
      <c r="N321" s="735">
        <f t="shared" si="807"/>
        <v>293.29719948000002</v>
      </c>
      <c r="O321" s="735">
        <f t="shared" si="807"/>
        <v>293.29719948000002</v>
      </c>
      <c r="P321" s="735">
        <f t="shared" si="807"/>
        <v>293.29719948000002</v>
      </c>
      <c r="Q321" s="731">
        <f t="shared" si="807"/>
        <v>293.29719948000002</v>
      </c>
      <c r="R321" s="731">
        <f t="shared" si="807"/>
        <v>293.29719948000002</v>
      </c>
      <c r="S321" s="731">
        <f t="shared" si="807"/>
        <v>293.29719948000002</v>
      </c>
      <c r="T321" s="731">
        <f t="shared" si="807"/>
        <v>293.29719948000002</v>
      </c>
      <c r="U321" s="731">
        <f t="shared" si="807"/>
        <v>293.29719948000002</v>
      </c>
      <c r="V321" s="731">
        <f t="shared" si="807"/>
        <v>293.29719948000002</v>
      </c>
      <c r="W321" s="731">
        <f t="shared" si="807"/>
        <v>293.29719948000002</v>
      </c>
      <c r="X321" s="731">
        <f t="shared" si="807"/>
        <v>293.29719948000002</v>
      </c>
      <c r="Y321" s="731">
        <f t="shared" si="807"/>
        <v>293.29719948000002</v>
      </c>
      <c r="Z321" s="731">
        <f t="shared" si="807"/>
        <v>293.29719948000002</v>
      </c>
      <c r="AA321" s="731">
        <f t="shared" si="807"/>
        <v>293.29719948000002</v>
      </c>
      <c r="AB321" s="731">
        <f t="shared" si="807"/>
        <v>293.29719948000002</v>
      </c>
      <c r="AC321" s="731">
        <f t="shared" si="807"/>
        <v>293.29719948000002</v>
      </c>
      <c r="AD321" s="731">
        <f t="shared" si="807"/>
        <v>293.29719948000002</v>
      </c>
      <c r="AE321" s="731">
        <f t="shared" si="807"/>
        <v>293.29719948000002</v>
      </c>
      <c r="AF321" s="731">
        <f t="shared" si="807"/>
        <v>293.29719948000002</v>
      </c>
      <c r="AG321" s="731">
        <f t="shared" si="807"/>
        <v>293.29719948000002</v>
      </c>
      <c r="AH321" s="731">
        <f t="shared" si="807"/>
        <v>293.29719948000002</v>
      </c>
      <c r="AI321" s="731">
        <f>SUM(AI81,AI87,AI93)*$B$215</f>
        <v>293.29719948000002</v>
      </c>
      <c r="AJ321" s="235"/>
      <c r="AK321" s="235"/>
      <c r="AL321" s="113"/>
      <c r="AM321" s="235"/>
      <c r="AN321" s="133"/>
      <c r="AO321" s="112"/>
      <c r="AP321" s="133"/>
      <c r="AQ321" s="112"/>
      <c r="AR321" s="133"/>
      <c r="AS321" s="235"/>
      <c r="AT321" s="235"/>
      <c r="AU321" s="235"/>
      <c r="AV321" s="235"/>
      <c r="AW321" s="235"/>
      <c r="AX321" s="235"/>
      <c r="AY321" s="235"/>
      <c r="AZ321" s="235"/>
      <c r="BA321" s="235"/>
      <c r="BB321" s="235"/>
      <c r="BC321" s="235"/>
      <c r="BD321" s="235"/>
      <c r="BE321" s="235"/>
      <c r="BF321" s="235"/>
      <c r="BG321" s="235"/>
      <c r="BH321" s="235"/>
      <c r="BI321" s="235"/>
      <c r="BJ321" s="235"/>
      <c r="BK321" s="235"/>
      <c r="BL321" s="235"/>
      <c r="BM321" s="235"/>
      <c r="BN321" s="235"/>
      <c r="BO321" s="235"/>
      <c r="BP321" s="235"/>
      <c r="BQ321" s="235"/>
      <c r="BR321" s="235"/>
      <c r="BS321" s="235"/>
      <c r="BT321" s="235"/>
      <c r="BU321" s="235"/>
      <c r="BV321" s="235"/>
      <c r="BW321" s="235"/>
      <c r="BX321" s="235"/>
      <c r="BY321" s="235"/>
      <c r="BZ321" s="235"/>
      <c r="CA321" s="235"/>
      <c r="CB321" s="235"/>
      <c r="CC321" s="235"/>
      <c r="CD321" s="235"/>
      <c r="CE321" s="235"/>
      <c r="CF321" s="235"/>
      <c r="CG321" s="235"/>
      <c r="CH321" s="235"/>
      <c r="CI321" s="235"/>
      <c r="CJ321" s="235"/>
      <c r="CK321" s="235"/>
      <c r="CL321" s="235"/>
      <c r="CM321" s="235"/>
      <c r="CN321" s="235"/>
      <c r="CO321" s="235"/>
      <c r="CP321" s="235"/>
      <c r="CQ321" s="235"/>
      <c r="CR321" s="235"/>
      <c r="CS321" s="235"/>
      <c r="CT321" s="235"/>
      <c r="CU321" s="235"/>
      <c r="CV321" s="235"/>
      <c r="CW321" s="235"/>
      <c r="CX321" s="235"/>
      <c r="CY321" s="235"/>
      <c r="CZ321" s="235"/>
      <c r="DA321" s="235"/>
      <c r="DB321" s="235"/>
      <c r="DC321" s="235"/>
      <c r="DD321" s="235"/>
      <c r="DE321" s="235"/>
      <c r="DF321" s="235"/>
      <c r="DG321" s="235"/>
      <c r="DH321" s="235"/>
      <c r="DI321" s="235"/>
      <c r="DJ321" s="235"/>
      <c r="DK321" s="235"/>
      <c r="DL321" s="235"/>
      <c r="DM321" s="235"/>
      <c r="DN321" s="235"/>
      <c r="DO321" s="235"/>
      <c r="DP321" s="235"/>
      <c r="DQ321" s="235"/>
      <c r="DR321" s="235"/>
      <c r="DS321" s="235"/>
      <c r="DT321" s="235"/>
      <c r="DU321" s="235"/>
      <c r="DV321" s="235"/>
      <c r="DW321" s="235"/>
      <c r="DX321" s="235"/>
      <c r="DY321" s="235"/>
      <c r="DZ321" s="235"/>
      <c r="EA321" s="235"/>
      <c r="EB321" s="235"/>
      <c r="EC321" s="235"/>
      <c r="ED321" s="235"/>
      <c r="EE321" s="235"/>
      <c r="EF321" s="235"/>
      <c r="EG321" s="235"/>
      <c r="EH321" s="235"/>
      <c r="EI321" s="235"/>
      <c r="EJ321" s="235"/>
      <c r="EK321" s="235"/>
      <c r="EL321" s="235"/>
      <c r="EM321" s="235"/>
      <c r="EN321" s="235"/>
      <c r="EO321" s="235"/>
      <c r="EP321" s="235"/>
      <c r="EQ321" s="235"/>
      <c r="ER321" s="235"/>
      <c r="ES321" s="235"/>
      <c r="ET321" s="235"/>
      <c r="EU321" s="235"/>
      <c r="EV321" s="235"/>
      <c r="EW321" s="235"/>
      <c r="EX321" s="235"/>
      <c r="EY321" s="235"/>
      <c r="EZ321" s="235"/>
      <c r="FA321" s="235"/>
      <c r="FB321" s="235"/>
      <c r="FC321" s="235"/>
      <c r="FD321" s="235"/>
      <c r="FE321" s="235"/>
      <c r="FF321" s="235"/>
      <c r="FG321" s="235"/>
      <c r="FH321" s="235"/>
      <c r="FI321" s="235"/>
      <c r="FJ321" s="235"/>
      <c r="FK321" s="235"/>
      <c r="FL321" s="235"/>
      <c r="FM321" s="235"/>
      <c r="FN321" s="235"/>
      <c r="FO321" s="235"/>
      <c r="FP321" s="235"/>
      <c r="FQ321" s="235"/>
      <c r="FR321" s="235"/>
      <c r="FS321" s="235"/>
      <c r="FT321" s="235"/>
      <c r="FU321" s="235"/>
      <c r="FV321" s="235"/>
      <c r="FW321" s="235"/>
      <c r="FX321" s="235"/>
      <c r="FY321" s="235"/>
      <c r="FZ321" s="235"/>
      <c r="GA321" s="235"/>
      <c r="GB321" s="235"/>
      <c r="GC321" s="235"/>
      <c r="GD321" s="235"/>
      <c r="GE321" s="235"/>
      <c r="GF321" s="235"/>
      <c r="GG321" s="235"/>
      <c r="GH321" s="235"/>
      <c r="GI321" s="235"/>
      <c r="GJ321" s="235"/>
      <c r="GK321" s="235"/>
      <c r="GL321" s="235"/>
      <c r="GM321" s="235"/>
      <c r="GN321" s="235"/>
      <c r="GO321" s="235"/>
      <c r="GP321" s="235"/>
      <c r="GQ321" s="235"/>
      <c r="GR321" s="235"/>
      <c r="GS321" s="235"/>
      <c r="GT321" s="235"/>
      <c r="GU321" s="235"/>
      <c r="GV321" s="235"/>
      <c r="GW321" s="235"/>
      <c r="GX321" s="235"/>
      <c r="GY321" s="235"/>
      <c r="GZ321" s="235"/>
      <c r="HA321" s="235"/>
      <c r="HB321" s="235"/>
      <c r="HC321" s="235"/>
      <c r="HD321" s="235"/>
      <c r="HE321" s="235"/>
      <c r="HF321" s="235"/>
      <c r="HG321" s="235"/>
      <c r="HH321" s="235"/>
      <c r="HI321" s="235"/>
      <c r="HJ321" s="235"/>
      <c r="HK321" s="235"/>
      <c r="HL321" s="235"/>
      <c r="HM321" s="235"/>
      <c r="HN321" s="235"/>
      <c r="HO321" s="235"/>
      <c r="HP321" s="235"/>
      <c r="HQ321" s="235"/>
      <c r="HR321" s="235"/>
      <c r="HS321" s="235"/>
      <c r="HT321" s="235"/>
      <c r="HU321" s="235"/>
      <c r="HV321" s="235"/>
      <c r="HW321" s="235"/>
      <c r="HX321" s="235"/>
      <c r="HY321" s="235"/>
      <c r="HZ321" s="235"/>
      <c r="IA321" s="235"/>
      <c r="IB321" s="235"/>
      <c r="IC321" s="235"/>
      <c r="ID321" s="235"/>
      <c r="IE321" s="235"/>
      <c r="IF321" s="235"/>
      <c r="IG321" s="235"/>
      <c r="IH321" s="235"/>
      <c r="II321" s="235"/>
      <c r="IJ321" s="235"/>
      <c r="IK321" s="235"/>
      <c r="IL321" s="235"/>
      <c r="IM321" s="235"/>
      <c r="IN321" s="235"/>
      <c r="IO321" s="235"/>
      <c r="IP321" s="235"/>
      <c r="IQ321" s="235"/>
      <c r="IR321" s="235"/>
    </row>
    <row r="322" spans="1:252" s="136" customFormat="1" x14ac:dyDescent="0.2">
      <c r="A322" s="234" t="s">
        <v>183</v>
      </c>
      <c r="B322" s="734">
        <f>SUM(B323:B326)</f>
        <v>356513.696</v>
      </c>
      <c r="C322" s="734">
        <f t="shared" ref="C322:AG322" si="808">SUM(C323:C326)</f>
        <v>296033.69400000002</v>
      </c>
      <c r="D322" s="734">
        <f t="shared" si="808"/>
        <v>303946.26934161497</v>
      </c>
      <c r="E322" s="734">
        <f t="shared" si="808"/>
        <v>316789.88435311499</v>
      </c>
      <c r="F322" s="734">
        <f t="shared" si="808"/>
        <v>319997.86235311499</v>
      </c>
      <c r="G322" s="734">
        <f t="shared" si="808"/>
        <v>326413.818353115</v>
      </c>
      <c r="H322" s="734">
        <f t="shared" si="808"/>
        <v>332829.774353115</v>
      </c>
      <c r="I322" s="734">
        <f t="shared" si="808"/>
        <v>336037.75235311501</v>
      </c>
      <c r="J322" s="734">
        <f t="shared" si="808"/>
        <v>342453.70835311501</v>
      </c>
      <c r="K322" s="734">
        <f t="shared" si="808"/>
        <v>348869.66435311502</v>
      </c>
      <c r="L322" s="734">
        <f t="shared" si="808"/>
        <v>355285.62035311502</v>
      </c>
      <c r="M322" s="734">
        <f t="shared" si="808"/>
        <v>358493.59835311503</v>
      </c>
      <c r="N322" s="734">
        <f t="shared" si="808"/>
        <v>356972.15901150001</v>
      </c>
      <c r="O322" s="734">
        <f t="shared" si="808"/>
        <v>363388.11501149996</v>
      </c>
      <c r="P322" s="734">
        <f t="shared" si="808"/>
        <v>369804.07101149997</v>
      </c>
      <c r="Q322" s="734">
        <f t="shared" si="808"/>
        <v>379428.00501149998</v>
      </c>
      <c r="R322" s="734">
        <f t="shared" si="808"/>
        <v>385843.96101149998</v>
      </c>
      <c r="S322" s="734">
        <f t="shared" si="808"/>
        <v>395467.89501149999</v>
      </c>
      <c r="T322" s="734">
        <f t="shared" si="808"/>
        <v>401883.8510115</v>
      </c>
      <c r="U322" s="734">
        <f t="shared" si="808"/>
        <v>411507.7850115</v>
      </c>
      <c r="V322" s="734">
        <f t="shared" si="808"/>
        <v>417923.74101150001</v>
      </c>
      <c r="W322" s="734">
        <f t="shared" si="808"/>
        <v>427547.67501150002</v>
      </c>
      <c r="X322" s="734">
        <f t="shared" si="808"/>
        <v>433963.63101150002</v>
      </c>
      <c r="Y322" s="734">
        <f t="shared" si="808"/>
        <v>443587.56501149997</v>
      </c>
      <c r="Z322" s="734">
        <f t="shared" si="808"/>
        <v>450003.52101149998</v>
      </c>
      <c r="AA322" s="734">
        <f t="shared" si="808"/>
        <v>459627.45501149999</v>
      </c>
      <c r="AB322" s="734">
        <f t="shared" si="808"/>
        <v>469251.3890115</v>
      </c>
      <c r="AC322" s="734">
        <f t="shared" si="808"/>
        <v>475667.3450115</v>
      </c>
      <c r="AD322" s="734">
        <f t="shared" si="808"/>
        <v>485291.27901149995</v>
      </c>
      <c r="AE322" s="734">
        <f t="shared" si="808"/>
        <v>494915.21301150002</v>
      </c>
      <c r="AF322" s="734">
        <f t="shared" si="808"/>
        <v>504539.14701150003</v>
      </c>
      <c r="AG322" s="734">
        <f t="shared" si="808"/>
        <v>514163.08101149998</v>
      </c>
      <c r="AH322" s="734">
        <f>SUM(AH323:AH326)</f>
        <v>526994.99301149999</v>
      </c>
      <c r="AI322" s="734">
        <f>SUM(AI323:AI326)</f>
        <v>536618.92701149988</v>
      </c>
      <c r="AJ322" s="154"/>
      <c r="AK322" s="154"/>
      <c r="AL322" s="113"/>
      <c r="AM322" s="154"/>
      <c r="AN322" s="133"/>
      <c r="AO322" s="112"/>
      <c r="AP322" s="133"/>
      <c r="AQ322" s="112"/>
      <c r="AR322" s="133"/>
      <c r="AS322" s="154"/>
      <c r="AT322" s="154"/>
      <c r="AU322" s="154"/>
      <c r="AV322" s="154"/>
      <c r="AW322" s="154"/>
      <c r="AX322" s="154"/>
      <c r="AY322" s="154"/>
      <c r="AZ322" s="154"/>
      <c r="BA322" s="154"/>
      <c r="BB322" s="154"/>
      <c r="BC322" s="154"/>
      <c r="BD322" s="154"/>
      <c r="BE322" s="154"/>
      <c r="BF322" s="154"/>
      <c r="BG322" s="154"/>
      <c r="BH322" s="154"/>
      <c r="BI322" s="154"/>
      <c r="BJ322" s="154"/>
      <c r="BK322" s="154"/>
      <c r="BL322" s="154"/>
      <c r="BM322" s="154"/>
      <c r="BN322" s="154"/>
      <c r="BO322" s="154"/>
      <c r="BP322" s="154"/>
      <c r="BQ322" s="154"/>
      <c r="BR322" s="154"/>
      <c r="BS322" s="154"/>
      <c r="BT322" s="154"/>
      <c r="BU322" s="154"/>
      <c r="BV322" s="154"/>
      <c r="BW322" s="154"/>
      <c r="BX322" s="154"/>
      <c r="BY322" s="154"/>
      <c r="BZ322" s="154"/>
      <c r="CA322" s="154"/>
      <c r="CB322" s="154"/>
      <c r="CC322" s="154"/>
      <c r="CD322" s="154"/>
      <c r="CE322" s="154"/>
      <c r="CF322" s="154"/>
      <c r="CG322" s="154"/>
      <c r="CH322" s="154"/>
      <c r="CI322" s="154"/>
      <c r="CJ322" s="154"/>
      <c r="CK322" s="154"/>
      <c r="CL322" s="154"/>
      <c r="CM322" s="154"/>
      <c r="CN322" s="154"/>
      <c r="CO322" s="154"/>
      <c r="CP322" s="154"/>
      <c r="CQ322" s="154"/>
      <c r="CR322" s="154"/>
      <c r="CS322" s="154"/>
      <c r="CT322" s="154"/>
      <c r="CU322" s="154"/>
      <c r="CV322" s="154"/>
      <c r="CW322" s="154"/>
      <c r="CX322" s="154"/>
      <c r="CY322" s="154"/>
      <c r="CZ322" s="154"/>
      <c r="DA322" s="154"/>
      <c r="DB322" s="154"/>
      <c r="DC322" s="154"/>
      <c r="DD322" s="154"/>
      <c r="DE322" s="154"/>
      <c r="DF322" s="154"/>
      <c r="DG322" s="154"/>
      <c r="DH322" s="154"/>
      <c r="DI322" s="154"/>
      <c r="DJ322" s="154"/>
      <c r="DK322" s="154"/>
      <c r="DL322" s="154"/>
      <c r="DM322" s="154"/>
      <c r="DN322" s="154"/>
      <c r="DO322" s="154"/>
      <c r="DP322" s="154"/>
      <c r="DQ322" s="154"/>
      <c r="DR322" s="154"/>
      <c r="DS322" s="154"/>
      <c r="DT322" s="154"/>
      <c r="DU322" s="154"/>
      <c r="DV322" s="154"/>
      <c r="DW322" s="154"/>
      <c r="DX322" s="154"/>
      <c r="DY322" s="154"/>
      <c r="DZ322" s="154"/>
      <c r="EA322" s="154"/>
      <c r="EB322" s="154"/>
      <c r="EC322" s="154"/>
      <c r="ED322" s="154"/>
      <c r="EE322" s="154"/>
      <c r="EF322" s="154"/>
      <c r="EG322" s="154"/>
      <c r="EH322" s="154"/>
      <c r="EI322" s="154"/>
      <c r="EJ322" s="154"/>
      <c r="EK322" s="154"/>
      <c r="EL322" s="154"/>
      <c r="EM322" s="154"/>
      <c r="EN322" s="154"/>
      <c r="EO322" s="154"/>
      <c r="EP322" s="154"/>
      <c r="EQ322" s="154"/>
      <c r="ER322" s="154"/>
      <c r="ES322" s="154"/>
      <c r="ET322" s="154"/>
      <c r="EU322" s="154"/>
      <c r="EV322" s="154"/>
      <c r="EW322" s="154"/>
      <c r="EX322" s="154"/>
      <c r="EY322" s="154"/>
      <c r="EZ322" s="154"/>
      <c r="FA322" s="154"/>
      <c r="FB322" s="154"/>
      <c r="FC322" s="154"/>
      <c r="FD322" s="154"/>
      <c r="FE322" s="154"/>
      <c r="FF322" s="154"/>
      <c r="FG322" s="154"/>
      <c r="FH322" s="154"/>
      <c r="FI322" s="154"/>
      <c r="FJ322" s="154"/>
      <c r="FK322" s="154"/>
      <c r="FL322" s="154"/>
      <c r="FM322" s="154"/>
      <c r="FN322" s="154"/>
      <c r="FO322" s="154"/>
      <c r="FP322" s="154"/>
      <c r="FQ322" s="154"/>
      <c r="FR322" s="154"/>
      <c r="FS322" s="154"/>
      <c r="FT322" s="154"/>
      <c r="FU322" s="154"/>
      <c r="FV322" s="154"/>
      <c r="FW322" s="154"/>
      <c r="FX322" s="154"/>
      <c r="FY322" s="154"/>
      <c r="FZ322" s="154"/>
      <c r="GA322" s="154"/>
      <c r="GB322" s="154"/>
      <c r="GC322" s="154"/>
      <c r="GD322" s="154"/>
      <c r="GE322" s="154"/>
      <c r="GF322" s="154"/>
      <c r="GG322" s="154"/>
      <c r="GH322" s="154"/>
      <c r="GI322" s="154"/>
      <c r="GJ322" s="154"/>
      <c r="GK322" s="154"/>
      <c r="GL322" s="154"/>
      <c r="GM322" s="154"/>
      <c r="GN322" s="154"/>
      <c r="GO322" s="154"/>
      <c r="GP322" s="154"/>
      <c r="GQ322" s="154"/>
      <c r="GR322" s="154"/>
      <c r="GS322" s="154"/>
      <c r="GT322" s="154"/>
      <c r="GU322" s="154"/>
      <c r="GV322" s="154"/>
      <c r="GW322" s="154"/>
      <c r="GX322" s="154"/>
      <c r="GY322" s="154"/>
      <c r="GZ322" s="154"/>
      <c r="HA322" s="154"/>
      <c r="HB322" s="154"/>
      <c r="HC322" s="154"/>
      <c r="HD322" s="154"/>
      <c r="HE322" s="154"/>
      <c r="HF322" s="154"/>
      <c r="HG322" s="154"/>
      <c r="HH322" s="154"/>
      <c r="HI322" s="154"/>
      <c r="HJ322" s="154"/>
      <c r="HK322" s="154"/>
      <c r="HL322" s="154"/>
      <c r="HM322" s="154"/>
      <c r="HN322" s="154"/>
      <c r="HO322" s="154"/>
      <c r="HP322" s="154"/>
      <c r="HQ322" s="154"/>
      <c r="HR322" s="154"/>
      <c r="HS322" s="154"/>
      <c r="HT322" s="154"/>
      <c r="HU322" s="154"/>
      <c r="HV322" s="154"/>
      <c r="HW322" s="154"/>
      <c r="HX322" s="154"/>
      <c r="HY322" s="154"/>
      <c r="HZ322" s="154"/>
      <c r="IA322" s="154"/>
      <c r="IB322" s="154"/>
      <c r="IC322" s="154"/>
      <c r="ID322" s="154"/>
      <c r="IE322" s="154"/>
      <c r="IF322" s="154"/>
      <c r="IG322" s="154"/>
      <c r="IH322" s="154"/>
      <c r="II322" s="154"/>
      <c r="IJ322" s="154"/>
      <c r="IK322" s="154"/>
      <c r="IL322" s="154"/>
      <c r="IM322" s="154"/>
      <c r="IN322" s="154"/>
      <c r="IO322" s="154"/>
      <c r="IP322" s="154"/>
      <c r="IQ322" s="154"/>
      <c r="IR322" s="154"/>
    </row>
    <row r="323" spans="1:252" s="136" customFormat="1" x14ac:dyDescent="0.2">
      <c r="A323" s="147" t="s">
        <v>184</v>
      </c>
      <c r="B323" s="730">
        <f>'Saimnieciskas pamatdarbibas NP'!B91</f>
        <v>254355.36000000002</v>
      </c>
      <c r="C323" s="730">
        <f>'Saimnieciskas pamatdarbibas NP'!C91</f>
        <v>211205.79</v>
      </c>
      <c r="D323" s="730">
        <f>'Saimnieciskas pamatdarbibas NP'!D91</f>
        <v>213476.81999999998</v>
      </c>
      <c r="E323" s="730">
        <f>'Saimnieciskas pamatdarbibas NP'!E91</f>
        <v>222697.44999999998</v>
      </c>
      <c r="F323" s="730">
        <f>'Saimnieciskas pamatdarbibas NP'!F91</f>
        <v>224993.3</v>
      </c>
      <c r="G323" s="730">
        <f>'Saimnieciskas pamatdarbibas NP'!G91</f>
        <v>229585</v>
      </c>
      <c r="H323" s="730">
        <f>'Saimnieciskas pamatdarbibas NP'!H91</f>
        <v>234176.7</v>
      </c>
      <c r="I323" s="730">
        <f>'Saimnieciskas pamatdarbibas NP'!I91</f>
        <v>236472.55000000002</v>
      </c>
      <c r="J323" s="730">
        <f>'Saimnieciskas pamatdarbibas NP'!J91</f>
        <v>241064.25</v>
      </c>
      <c r="K323" s="730">
        <f>'Saimnieciskas pamatdarbibas NP'!K91</f>
        <v>245655.95</v>
      </c>
      <c r="L323" s="730">
        <f>'Saimnieciskas pamatdarbibas NP'!L91</f>
        <v>250247.65000000002</v>
      </c>
      <c r="M323" s="730">
        <f>'Saimnieciskas pamatdarbibas NP'!M91</f>
        <v>252543.50000000003</v>
      </c>
      <c r="N323" s="730">
        <f>'Saimnieciskas pamatdarbibas NP'!N91</f>
        <v>254839.35000000003</v>
      </c>
      <c r="O323" s="730">
        <f>'Saimnieciskas pamatdarbibas NP'!O91</f>
        <v>259431.05</v>
      </c>
      <c r="P323" s="730">
        <f>'Saimnieciskas pamatdarbibas NP'!P91</f>
        <v>264022.75</v>
      </c>
      <c r="Q323" s="730">
        <f>'Saimnieciskas pamatdarbibas NP'!Q91</f>
        <v>270910.3</v>
      </c>
      <c r="R323" s="730">
        <f>'Saimnieciskas pamatdarbibas NP'!R91</f>
        <v>275502</v>
      </c>
      <c r="S323" s="730">
        <f>'Saimnieciskas pamatdarbibas NP'!S91</f>
        <v>282389.55</v>
      </c>
      <c r="T323" s="730">
        <f>'Saimnieciskas pamatdarbibas NP'!T91</f>
        <v>286981.25</v>
      </c>
      <c r="U323" s="730">
        <f>'Saimnieciskas pamatdarbibas NP'!U91</f>
        <v>293868.79999999999</v>
      </c>
      <c r="V323" s="730">
        <f>'Saimnieciskas pamatdarbibas NP'!V91</f>
        <v>298460.5</v>
      </c>
      <c r="W323" s="730">
        <f>'Saimnieciskas pamatdarbibas NP'!W91</f>
        <v>305348.05</v>
      </c>
      <c r="X323" s="730">
        <f>'Saimnieciskas pamatdarbibas NP'!X91</f>
        <v>309939.75</v>
      </c>
      <c r="Y323" s="730">
        <f>'Saimnieciskas pamatdarbibas NP'!Y91</f>
        <v>316827.3</v>
      </c>
      <c r="Z323" s="730">
        <f>'Saimnieciskas pamatdarbibas NP'!Z91</f>
        <v>321419</v>
      </c>
      <c r="AA323" s="730">
        <f>'Saimnieciskas pamatdarbibas NP'!AA91</f>
        <v>328306.55</v>
      </c>
      <c r="AB323" s="730">
        <f>'Saimnieciskas pamatdarbibas NP'!AB91</f>
        <v>335194.09999999998</v>
      </c>
      <c r="AC323" s="730">
        <f>'Saimnieciskas pamatdarbibas NP'!AC91</f>
        <v>339785.8</v>
      </c>
      <c r="AD323" s="730">
        <f>'Saimnieciskas pamatdarbibas NP'!AD91</f>
        <v>346673.35</v>
      </c>
      <c r="AE323" s="730">
        <f>'Saimnieciskas pamatdarbibas NP'!AE91</f>
        <v>353560.9</v>
      </c>
      <c r="AF323" s="730">
        <f>'Saimnieciskas pamatdarbibas NP'!AF91</f>
        <v>360448.45</v>
      </c>
      <c r="AG323" s="730">
        <f>'Saimnieciskas pamatdarbibas NP'!AG91</f>
        <v>367336</v>
      </c>
      <c r="AH323" s="730">
        <f>'Saimnieciskas pamatdarbibas NP'!AH91</f>
        <v>376519.39999999997</v>
      </c>
      <c r="AI323" s="730">
        <f>'Saimnieciskas pamatdarbibas NP'!AI91</f>
        <v>383406.94999999995</v>
      </c>
      <c r="AJ323" s="154"/>
      <c r="AK323" s="154"/>
      <c r="AL323" s="113"/>
      <c r="AM323" s="154"/>
      <c r="AN323" s="133"/>
      <c r="AO323" s="112"/>
      <c r="AP323" s="133"/>
      <c r="AQ323" s="112"/>
      <c r="AR323" s="133"/>
      <c r="AS323" s="154"/>
      <c r="AT323" s="154"/>
      <c r="AU323" s="154"/>
      <c r="AV323" s="154"/>
      <c r="AW323" s="154"/>
      <c r="AX323" s="154"/>
      <c r="AY323" s="154"/>
      <c r="AZ323" s="154"/>
      <c r="BA323" s="154"/>
      <c r="BB323" s="154"/>
      <c r="BC323" s="154"/>
      <c r="BD323" s="154"/>
      <c r="BE323" s="154"/>
      <c r="BF323" s="154"/>
      <c r="BG323" s="154"/>
      <c r="BH323" s="154"/>
      <c r="BI323" s="154"/>
      <c r="BJ323" s="154"/>
      <c r="BK323" s="154"/>
      <c r="BL323" s="154"/>
      <c r="BM323" s="154"/>
      <c r="BN323" s="154"/>
      <c r="BO323" s="154"/>
      <c r="BP323" s="154"/>
      <c r="BQ323" s="154"/>
      <c r="BR323" s="154"/>
      <c r="BS323" s="154"/>
      <c r="BT323" s="154"/>
      <c r="BU323" s="154"/>
      <c r="BV323" s="154"/>
      <c r="BW323" s="154"/>
      <c r="BX323" s="154"/>
      <c r="BY323" s="154"/>
      <c r="BZ323" s="154"/>
      <c r="CA323" s="154"/>
      <c r="CB323" s="154"/>
      <c r="CC323" s="154"/>
      <c r="CD323" s="154"/>
      <c r="CE323" s="154"/>
      <c r="CF323" s="154"/>
      <c r="CG323" s="154"/>
      <c r="CH323" s="154"/>
      <c r="CI323" s="154"/>
      <c r="CJ323" s="154"/>
      <c r="CK323" s="154"/>
      <c r="CL323" s="154"/>
      <c r="CM323" s="154"/>
      <c r="CN323" s="154"/>
      <c r="CO323" s="154"/>
      <c r="CP323" s="154"/>
      <c r="CQ323" s="154"/>
      <c r="CR323" s="154"/>
      <c r="CS323" s="154"/>
      <c r="CT323" s="154"/>
      <c r="CU323" s="154"/>
      <c r="CV323" s="154"/>
      <c r="CW323" s="154"/>
      <c r="CX323" s="154"/>
      <c r="CY323" s="154"/>
      <c r="CZ323" s="154"/>
      <c r="DA323" s="154"/>
      <c r="DB323" s="154"/>
      <c r="DC323" s="154"/>
      <c r="DD323" s="154"/>
      <c r="DE323" s="154"/>
      <c r="DF323" s="154"/>
      <c r="DG323" s="154"/>
      <c r="DH323" s="154"/>
      <c r="DI323" s="154"/>
      <c r="DJ323" s="154"/>
      <c r="DK323" s="154"/>
      <c r="DL323" s="154"/>
      <c r="DM323" s="154"/>
      <c r="DN323" s="154"/>
      <c r="DO323" s="154"/>
      <c r="DP323" s="154"/>
      <c r="DQ323" s="154"/>
      <c r="DR323" s="154"/>
      <c r="DS323" s="154"/>
      <c r="DT323" s="154"/>
      <c r="DU323" s="154"/>
      <c r="DV323" s="154"/>
      <c r="DW323" s="154"/>
      <c r="DX323" s="154"/>
      <c r="DY323" s="154"/>
      <c r="DZ323" s="154"/>
      <c r="EA323" s="154"/>
      <c r="EB323" s="154"/>
      <c r="EC323" s="154"/>
      <c r="ED323" s="154"/>
      <c r="EE323" s="154"/>
      <c r="EF323" s="154"/>
      <c r="EG323" s="154"/>
      <c r="EH323" s="154"/>
      <c r="EI323" s="154"/>
      <c r="EJ323" s="154"/>
      <c r="EK323" s="154"/>
      <c r="EL323" s="154"/>
      <c r="EM323" s="154"/>
      <c r="EN323" s="154"/>
      <c r="EO323" s="154"/>
      <c r="EP323" s="154"/>
      <c r="EQ323" s="154"/>
      <c r="ER323" s="154"/>
      <c r="ES323" s="154"/>
      <c r="ET323" s="154"/>
      <c r="EU323" s="154"/>
      <c r="EV323" s="154"/>
      <c r="EW323" s="154"/>
      <c r="EX323" s="154"/>
      <c r="EY323" s="154"/>
      <c r="EZ323" s="154"/>
      <c r="FA323" s="154"/>
      <c r="FB323" s="154"/>
      <c r="FC323" s="154"/>
      <c r="FD323" s="154"/>
      <c r="FE323" s="154"/>
      <c r="FF323" s="154"/>
      <c r="FG323" s="154"/>
      <c r="FH323" s="154"/>
      <c r="FI323" s="154"/>
      <c r="FJ323" s="154"/>
      <c r="FK323" s="154"/>
      <c r="FL323" s="154"/>
      <c r="FM323" s="154"/>
      <c r="FN323" s="154"/>
      <c r="FO323" s="154"/>
      <c r="FP323" s="154"/>
      <c r="FQ323" s="154"/>
      <c r="FR323" s="154"/>
      <c r="FS323" s="154"/>
      <c r="FT323" s="154"/>
      <c r="FU323" s="154"/>
      <c r="FV323" s="154"/>
      <c r="FW323" s="154"/>
      <c r="FX323" s="154"/>
      <c r="FY323" s="154"/>
      <c r="FZ323" s="154"/>
      <c r="GA323" s="154"/>
      <c r="GB323" s="154"/>
      <c r="GC323" s="154"/>
      <c r="GD323" s="154"/>
      <c r="GE323" s="154"/>
      <c r="GF323" s="154"/>
      <c r="GG323" s="154"/>
      <c r="GH323" s="154"/>
      <c r="GI323" s="154"/>
      <c r="GJ323" s="154"/>
      <c r="GK323" s="154"/>
      <c r="GL323" s="154"/>
      <c r="GM323" s="154"/>
      <c r="GN323" s="154"/>
      <c r="GO323" s="154"/>
      <c r="GP323" s="154"/>
      <c r="GQ323" s="154"/>
      <c r="GR323" s="154"/>
      <c r="GS323" s="154"/>
      <c r="GT323" s="154"/>
      <c r="GU323" s="154"/>
      <c r="GV323" s="154"/>
      <c r="GW323" s="154"/>
      <c r="GX323" s="154"/>
      <c r="GY323" s="154"/>
      <c r="GZ323" s="154"/>
      <c r="HA323" s="154"/>
      <c r="HB323" s="154"/>
      <c r="HC323" s="154"/>
      <c r="HD323" s="154"/>
      <c r="HE323" s="154"/>
      <c r="HF323" s="154"/>
      <c r="HG323" s="154"/>
      <c r="HH323" s="154"/>
      <c r="HI323" s="154"/>
      <c r="HJ323" s="154"/>
      <c r="HK323" s="154"/>
      <c r="HL323" s="154"/>
      <c r="HM323" s="154"/>
      <c r="HN323" s="154"/>
      <c r="HO323" s="154"/>
      <c r="HP323" s="154"/>
      <c r="HQ323" s="154"/>
      <c r="HR323" s="154"/>
      <c r="HS323" s="154"/>
      <c r="HT323" s="154"/>
      <c r="HU323" s="154"/>
      <c r="HV323" s="154"/>
      <c r="HW323" s="154"/>
      <c r="HX323" s="154"/>
      <c r="HY323" s="154"/>
      <c r="HZ323" s="154"/>
      <c r="IA323" s="154"/>
      <c r="IB323" s="154"/>
      <c r="IC323" s="154"/>
      <c r="ID323" s="154"/>
      <c r="IE323" s="154"/>
      <c r="IF323" s="154"/>
      <c r="IG323" s="154"/>
      <c r="IH323" s="154"/>
      <c r="II323" s="154"/>
      <c r="IJ323" s="154"/>
      <c r="IK323" s="154"/>
      <c r="IL323" s="154"/>
      <c r="IM323" s="154"/>
      <c r="IN323" s="154"/>
      <c r="IO323" s="154"/>
      <c r="IP323" s="154"/>
      <c r="IQ323" s="154"/>
      <c r="IR323" s="154"/>
    </row>
    <row r="324" spans="1:252" s="136" customFormat="1" x14ac:dyDescent="0.2">
      <c r="A324" s="147" t="s">
        <v>185</v>
      </c>
      <c r="B324" s="730">
        <f>'Saimnieciskas pamatdarbibas NP'!B92</f>
        <v>43750.33600000001</v>
      </c>
      <c r="C324" s="730">
        <f>'Saimnieciskas pamatdarbibas NP'!C92</f>
        <v>36328.404000000002</v>
      </c>
      <c r="D324" s="730">
        <f>'Saimnieciskas pamatdarbibas NP'!D92</f>
        <v>36719.031999999999</v>
      </c>
      <c r="E324" s="730">
        <f>'Saimnieciskas pamatdarbibas NP'!E92</f>
        <v>37890.916000000005</v>
      </c>
      <c r="F324" s="730">
        <f>'Saimnieciskas pamatdarbibas NP'!F92</f>
        <v>38281.544000000002</v>
      </c>
      <c r="G324" s="730">
        <f>'Saimnieciskas pamatdarbibas NP'!G92</f>
        <v>39062.800000000003</v>
      </c>
      <c r="H324" s="730">
        <f>'Saimnieciskas pamatdarbibas NP'!H92</f>
        <v>39844.056000000004</v>
      </c>
      <c r="I324" s="730">
        <f>'Saimnieciskas pamatdarbibas NP'!I92</f>
        <v>40234.684000000001</v>
      </c>
      <c r="J324" s="730">
        <f>'Saimnieciskas pamatdarbibas NP'!J92</f>
        <v>41015.94</v>
      </c>
      <c r="K324" s="730">
        <f>'Saimnieciskas pamatdarbibas NP'!K92</f>
        <v>41797.196000000004</v>
      </c>
      <c r="L324" s="730">
        <f>'Saimnieciskas pamatdarbibas NP'!L92</f>
        <v>42578.452000000005</v>
      </c>
      <c r="M324" s="730">
        <f>'Saimnieciskas pamatdarbibas NP'!M92</f>
        <v>42969.080000000009</v>
      </c>
      <c r="N324" s="730">
        <f>'Saimnieciskas pamatdarbibas NP'!N92</f>
        <v>43359.708000000006</v>
      </c>
      <c r="O324" s="730">
        <f>'Saimnieciskas pamatdarbibas NP'!O92</f>
        <v>44140.964</v>
      </c>
      <c r="P324" s="730">
        <f>'Saimnieciskas pamatdarbibas NP'!P92</f>
        <v>44922.22</v>
      </c>
      <c r="Q324" s="730">
        <f>'Saimnieciskas pamatdarbibas NP'!Q92</f>
        <v>46094.103999999999</v>
      </c>
      <c r="R324" s="730">
        <f>'Saimnieciskas pamatdarbibas NP'!R92</f>
        <v>46875.360000000001</v>
      </c>
      <c r="S324" s="730">
        <f>'Saimnieciskas pamatdarbibas NP'!S92</f>
        <v>48047.244000000006</v>
      </c>
      <c r="T324" s="730">
        <f>'Saimnieciskas pamatdarbibas NP'!T92</f>
        <v>48828.5</v>
      </c>
      <c r="U324" s="730">
        <f>'Saimnieciskas pamatdarbibas NP'!U92</f>
        <v>50000.384000000005</v>
      </c>
      <c r="V324" s="730">
        <f>'Saimnieciskas pamatdarbibas NP'!V92</f>
        <v>50781.640000000007</v>
      </c>
      <c r="W324" s="730">
        <f>'Saimnieciskas pamatdarbibas NP'!W92</f>
        <v>51953.524000000005</v>
      </c>
      <c r="X324" s="730">
        <f>'Saimnieciskas pamatdarbibas NP'!X92</f>
        <v>52734.780000000006</v>
      </c>
      <c r="Y324" s="730">
        <f>'Saimnieciskas pamatdarbibas NP'!Y92</f>
        <v>53906.663999999997</v>
      </c>
      <c r="Z324" s="730">
        <f>'Saimnieciskas pamatdarbibas NP'!Z92</f>
        <v>54687.92</v>
      </c>
      <c r="AA324" s="730">
        <f>'Saimnieciskas pamatdarbibas NP'!AA92</f>
        <v>55859.804000000004</v>
      </c>
      <c r="AB324" s="730">
        <f>'Saimnieciskas pamatdarbibas NP'!AB92</f>
        <v>57031.688000000002</v>
      </c>
      <c r="AC324" s="730">
        <f>'Saimnieciskas pamatdarbibas NP'!AC92</f>
        <v>57812.944000000003</v>
      </c>
      <c r="AD324" s="730">
        <f>'Saimnieciskas pamatdarbibas NP'!AD92</f>
        <v>58984.828000000001</v>
      </c>
      <c r="AE324" s="730">
        <f>'Saimnieciskas pamatdarbibas NP'!AE92</f>
        <v>60156.712000000007</v>
      </c>
      <c r="AF324" s="730">
        <f>'Saimnieciskas pamatdarbibas NP'!AF92</f>
        <v>61328.596000000005</v>
      </c>
      <c r="AG324" s="730">
        <f>'Saimnieciskas pamatdarbibas NP'!AG92</f>
        <v>62500.48000000001</v>
      </c>
      <c r="AH324" s="730">
        <f>'Saimnieciskas pamatdarbibas NP'!AH92</f>
        <v>64062.991999999998</v>
      </c>
      <c r="AI324" s="730">
        <f>'Saimnieciskas pamatdarbibas NP'!AI92</f>
        <v>65234.875999999997</v>
      </c>
      <c r="AJ324" s="154"/>
      <c r="AK324" s="154"/>
      <c r="AL324" s="113"/>
      <c r="AM324" s="154"/>
      <c r="AN324" s="133"/>
      <c r="AO324" s="112"/>
      <c r="AP324" s="133"/>
      <c r="AQ324" s="112"/>
      <c r="AR324" s="133"/>
      <c r="AS324" s="154"/>
      <c r="AT324" s="154"/>
      <c r="AU324" s="154"/>
      <c r="AV324" s="154"/>
      <c r="AW324" s="154"/>
      <c r="AX324" s="154"/>
      <c r="AY324" s="154"/>
      <c r="AZ324" s="154"/>
      <c r="BA324" s="154"/>
      <c r="BB324" s="154"/>
      <c r="BC324" s="154"/>
      <c r="BD324" s="154"/>
      <c r="BE324" s="154"/>
      <c r="BF324" s="154"/>
      <c r="BG324" s="154"/>
      <c r="BH324" s="154"/>
      <c r="BI324" s="154"/>
      <c r="BJ324" s="154"/>
      <c r="BK324" s="154"/>
      <c r="BL324" s="154"/>
      <c r="BM324" s="154"/>
      <c r="BN324" s="154"/>
      <c r="BO324" s="154"/>
      <c r="BP324" s="154"/>
      <c r="BQ324" s="154"/>
      <c r="BR324" s="154"/>
      <c r="BS324" s="154"/>
      <c r="BT324" s="154"/>
      <c r="BU324" s="154"/>
      <c r="BV324" s="154"/>
      <c r="BW324" s="154"/>
      <c r="BX324" s="154"/>
      <c r="BY324" s="154"/>
      <c r="BZ324" s="154"/>
      <c r="CA324" s="154"/>
      <c r="CB324" s="154"/>
      <c r="CC324" s="154"/>
      <c r="CD324" s="154"/>
      <c r="CE324" s="154"/>
      <c r="CF324" s="154"/>
      <c r="CG324" s="154"/>
      <c r="CH324" s="154"/>
      <c r="CI324" s="154"/>
      <c r="CJ324" s="154"/>
      <c r="CK324" s="154"/>
      <c r="CL324" s="154"/>
      <c r="CM324" s="154"/>
      <c r="CN324" s="154"/>
      <c r="CO324" s="154"/>
      <c r="CP324" s="154"/>
      <c r="CQ324" s="154"/>
      <c r="CR324" s="154"/>
      <c r="CS324" s="154"/>
      <c r="CT324" s="154"/>
      <c r="CU324" s="154"/>
      <c r="CV324" s="154"/>
      <c r="CW324" s="154"/>
      <c r="CX324" s="154"/>
      <c r="CY324" s="154"/>
      <c r="CZ324" s="154"/>
      <c r="DA324" s="154"/>
      <c r="DB324" s="154"/>
      <c r="DC324" s="154"/>
      <c r="DD324" s="154"/>
      <c r="DE324" s="154"/>
      <c r="DF324" s="154"/>
      <c r="DG324" s="154"/>
      <c r="DH324" s="154"/>
      <c r="DI324" s="154"/>
      <c r="DJ324" s="154"/>
      <c r="DK324" s="154"/>
      <c r="DL324" s="154"/>
      <c r="DM324" s="154"/>
      <c r="DN324" s="154"/>
      <c r="DO324" s="154"/>
      <c r="DP324" s="154"/>
      <c r="DQ324" s="154"/>
      <c r="DR324" s="154"/>
      <c r="DS324" s="154"/>
      <c r="DT324" s="154"/>
      <c r="DU324" s="154"/>
      <c r="DV324" s="154"/>
      <c r="DW324" s="154"/>
      <c r="DX324" s="154"/>
      <c r="DY324" s="154"/>
      <c r="DZ324" s="154"/>
      <c r="EA324" s="154"/>
      <c r="EB324" s="154"/>
      <c r="EC324" s="154"/>
      <c r="ED324" s="154"/>
      <c r="EE324" s="154"/>
      <c r="EF324" s="154"/>
      <c r="EG324" s="154"/>
      <c r="EH324" s="154"/>
      <c r="EI324" s="154"/>
      <c r="EJ324" s="154"/>
      <c r="EK324" s="154"/>
      <c r="EL324" s="154"/>
      <c r="EM324" s="154"/>
      <c r="EN324" s="154"/>
      <c r="EO324" s="154"/>
      <c r="EP324" s="154"/>
      <c r="EQ324" s="154"/>
      <c r="ER324" s="154"/>
      <c r="ES324" s="154"/>
      <c r="ET324" s="154"/>
      <c r="EU324" s="154"/>
      <c r="EV324" s="154"/>
      <c r="EW324" s="154"/>
      <c r="EX324" s="154"/>
      <c r="EY324" s="154"/>
      <c r="EZ324" s="154"/>
      <c r="FA324" s="154"/>
      <c r="FB324" s="154"/>
      <c r="FC324" s="154"/>
      <c r="FD324" s="154"/>
      <c r="FE324" s="154"/>
      <c r="FF324" s="154"/>
      <c r="FG324" s="154"/>
      <c r="FH324" s="154"/>
      <c r="FI324" s="154"/>
      <c r="FJ324" s="154"/>
      <c r="FK324" s="154"/>
      <c r="FL324" s="154"/>
      <c r="FM324" s="154"/>
      <c r="FN324" s="154"/>
      <c r="FO324" s="154"/>
      <c r="FP324" s="154"/>
      <c r="FQ324" s="154"/>
      <c r="FR324" s="154"/>
      <c r="FS324" s="154"/>
      <c r="FT324" s="154"/>
      <c r="FU324" s="154"/>
      <c r="FV324" s="154"/>
      <c r="FW324" s="154"/>
      <c r="FX324" s="154"/>
      <c r="FY324" s="154"/>
      <c r="FZ324" s="154"/>
      <c r="GA324" s="154"/>
      <c r="GB324" s="154"/>
      <c r="GC324" s="154"/>
      <c r="GD324" s="154"/>
      <c r="GE324" s="154"/>
      <c r="GF324" s="154"/>
      <c r="GG324" s="154"/>
      <c r="GH324" s="154"/>
      <c r="GI324" s="154"/>
      <c r="GJ324" s="154"/>
      <c r="GK324" s="154"/>
      <c r="GL324" s="154"/>
      <c r="GM324" s="154"/>
      <c r="GN324" s="154"/>
      <c r="GO324" s="154"/>
      <c r="GP324" s="154"/>
      <c r="GQ324" s="154"/>
      <c r="GR324" s="154"/>
      <c r="GS324" s="154"/>
      <c r="GT324" s="154"/>
      <c r="GU324" s="154"/>
      <c r="GV324" s="154"/>
      <c r="GW324" s="154"/>
      <c r="GX324" s="154"/>
      <c r="GY324" s="154"/>
      <c r="GZ324" s="154"/>
      <c r="HA324" s="154"/>
      <c r="HB324" s="154"/>
      <c r="HC324" s="154"/>
      <c r="HD324" s="154"/>
      <c r="HE324" s="154"/>
      <c r="HF324" s="154"/>
      <c r="HG324" s="154"/>
      <c r="HH324" s="154"/>
      <c r="HI324" s="154"/>
      <c r="HJ324" s="154"/>
      <c r="HK324" s="154"/>
      <c r="HL324" s="154"/>
      <c r="HM324" s="154"/>
      <c r="HN324" s="154"/>
      <c r="HO324" s="154"/>
      <c r="HP324" s="154"/>
      <c r="HQ324" s="154"/>
      <c r="HR324" s="154"/>
      <c r="HS324" s="154"/>
      <c r="HT324" s="154"/>
      <c r="HU324" s="154"/>
      <c r="HV324" s="154"/>
      <c r="HW324" s="154"/>
      <c r="HX324" s="154"/>
      <c r="HY324" s="154"/>
      <c r="HZ324" s="154"/>
      <c r="IA324" s="154"/>
      <c r="IB324" s="154"/>
      <c r="IC324" s="154"/>
      <c r="ID324" s="154"/>
      <c r="IE324" s="154"/>
      <c r="IF324" s="154"/>
      <c r="IG324" s="154"/>
      <c r="IH324" s="154"/>
      <c r="II324" s="154"/>
      <c r="IJ324" s="154"/>
      <c r="IK324" s="154"/>
      <c r="IL324" s="154"/>
      <c r="IM324" s="154"/>
      <c r="IN324" s="154"/>
      <c r="IO324" s="154"/>
      <c r="IP324" s="154"/>
      <c r="IQ324" s="154"/>
      <c r="IR324" s="154"/>
    </row>
    <row r="325" spans="1:252" s="136" customFormat="1" x14ac:dyDescent="0.2">
      <c r="A325" s="147" t="s">
        <v>186</v>
      </c>
      <c r="B325" s="730">
        <f>'Saimnieciskas pamatdarbibas NP'!B93</f>
        <v>58408.000000000007</v>
      </c>
      <c r="C325" s="730">
        <f>'Saimnieciskas pamatdarbibas NP'!C93</f>
        <v>48499.5</v>
      </c>
      <c r="D325" s="730">
        <f>'Saimnieciskas pamatdarbibas NP'!D93</f>
        <v>49021</v>
      </c>
      <c r="E325" s="730">
        <f>'Saimnieciskas pamatdarbibas NP'!E93</f>
        <v>50585.5</v>
      </c>
      <c r="F325" s="730">
        <f>'Saimnieciskas pamatdarbibas NP'!F93</f>
        <v>51107</v>
      </c>
      <c r="G325" s="730">
        <f>'Saimnieciskas pamatdarbibas NP'!G93</f>
        <v>52150</v>
      </c>
      <c r="H325" s="730">
        <f>'Saimnieciskas pamatdarbibas NP'!H93</f>
        <v>53193</v>
      </c>
      <c r="I325" s="730">
        <f>'Saimnieciskas pamatdarbibas NP'!I93</f>
        <v>53714.5</v>
      </c>
      <c r="J325" s="730">
        <f>'Saimnieciskas pamatdarbibas NP'!J93</f>
        <v>54757.5</v>
      </c>
      <c r="K325" s="730">
        <f>'Saimnieciskas pamatdarbibas NP'!K93</f>
        <v>55800.5</v>
      </c>
      <c r="L325" s="730">
        <f>'Saimnieciskas pamatdarbibas NP'!L93</f>
        <v>56843.500000000007</v>
      </c>
      <c r="M325" s="730">
        <f>'Saimnieciskas pamatdarbibas NP'!M93</f>
        <v>57365.000000000007</v>
      </c>
      <c r="N325" s="730">
        <f>'Saimnieciskas pamatdarbibas NP'!N93</f>
        <v>57886.500000000007</v>
      </c>
      <c r="O325" s="730">
        <f>'Saimnieciskas pamatdarbibas NP'!O93</f>
        <v>58929.499999999993</v>
      </c>
      <c r="P325" s="730">
        <f>'Saimnieciskas pamatdarbibas NP'!P93</f>
        <v>59972.499999999993</v>
      </c>
      <c r="Q325" s="730">
        <f>'Saimnieciskas pamatdarbibas NP'!Q93</f>
        <v>61537</v>
      </c>
      <c r="R325" s="730">
        <f>'Saimnieciskas pamatdarbibas NP'!R93</f>
        <v>62580</v>
      </c>
      <c r="S325" s="730">
        <f>'Saimnieciskas pamatdarbibas NP'!S93</f>
        <v>64144.5</v>
      </c>
      <c r="T325" s="730">
        <f>'Saimnieciskas pamatdarbibas NP'!T93</f>
        <v>65187.5</v>
      </c>
      <c r="U325" s="730">
        <f>'Saimnieciskas pamatdarbibas NP'!U93</f>
        <v>66752</v>
      </c>
      <c r="V325" s="730">
        <f>'Saimnieciskas pamatdarbibas NP'!V93</f>
        <v>67795</v>
      </c>
      <c r="W325" s="730">
        <f>'Saimnieciskas pamatdarbibas NP'!W93</f>
        <v>69359.5</v>
      </c>
      <c r="X325" s="730">
        <f>'Saimnieciskas pamatdarbibas NP'!X93</f>
        <v>70402.5</v>
      </c>
      <c r="Y325" s="730">
        <f>'Saimnieciskas pamatdarbibas NP'!Y93</f>
        <v>71967</v>
      </c>
      <c r="Z325" s="730">
        <f>'Saimnieciskas pamatdarbibas NP'!Z93</f>
        <v>73010</v>
      </c>
      <c r="AA325" s="730">
        <f>'Saimnieciskas pamatdarbibas NP'!AA93</f>
        <v>74574.5</v>
      </c>
      <c r="AB325" s="730">
        <f>'Saimnieciskas pamatdarbibas NP'!AB93</f>
        <v>76139</v>
      </c>
      <c r="AC325" s="730">
        <f>'Saimnieciskas pamatdarbibas NP'!AC93</f>
        <v>77182</v>
      </c>
      <c r="AD325" s="730">
        <f>'Saimnieciskas pamatdarbibas NP'!AD93</f>
        <v>78746.5</v>
      </c>
      <c r="AE325" s="730">
        <f>'Saimnieciskas pamatdarbibas NP'!AE93</f>
        <v>80311</v>
      </c>
      <c r="AF325" s="730">
        <f>'Saimnieciskas pamatdarbibas NP'!AF93</f>
        <v>81875.5</v>
      </c>
      <c r="AG325" s="730">
        <f>'Saimnieciskas pamatdarbibas NP'!AG93</f>
        <v>83440</v>
      </c>
      <c r="AH325" s="730">
        <f>'Saimnieciskas pamatdarbibas NP'!AH93</f>
        <v>85526</v>
      </c>
      <c r="AI325" s="730">
        <f>'Saimnieciskas pamatdarbibas NP'!AI93</f>
        <v>87090.499999999985</v>
      </c>
      <c r="AJ325" s="154"/>
      <c r="AK325" s="154"/>
      <c r="AL325" s="113"/>
      <c r="AM325" s="154"/>
      <c r="AN325" s="133"/>
      <c r="AO325" s="112"/>
      <c r="AP325" s="133"/>
      <c r="AQ325" s="112"/>
      <c r="AR325" s="133"/>
      <c r="AS325" s="154"/>
      <c r="AT325" s="154"/>
      <c r="AU325" s="154"/>
      <c r="AV325" s="154"/>
      <c r="AW325" s="154"/>
      <c r="AX325" s="154"/>
      <c r="AY325" s="154"/>
      <c r="AZ325" s="154"/>
      <c r="BA325" s="154"/>
      <c r="BB325" s="154"/>
      <c r="BC325" s="154"/>
      <c r="BD325" s="154"/>
      <c r="BE325" s="154"/>
      <c r="BF325" s="154"/>
      <c r="BG325" s="154"/>
      <c r="BH325" s="154"/>
      <c r="BI325" s="154"/>
      <c r="BJ325" s="154"/>
      <c r="BK325" s="154"/>
      <c r="BL325" s="154"/>
      <c r="BM325" s="154"/>
      <c r="BN325" s="154"/>
      <c r="BO325" s="154"/>
      <c r="BP325" s="154"/>
      <c r="BQ325" s="154"/>
      <c r="BR325" s="154"/>
      <c r="BS325" s="154"/>
      <c r="BT325" s="154"/>
      <c r="BU325" s="154"/>
      <c r="BV325" s="154"/>
      <c r="BW325" s="154"/>
      <c r="BX325" s="154"/>
      <c r="BY325" s="154"/>
      <c r="BZ325" s="154"/>
      <c r="CA325" s="154"/>
      <c r="CB325" s="154"/>
      <c r="CC325" s="154"/>
      <c r="CD325" s="154"/>
      <c r="CE325" s="154"/>
      <c r="CF325" s="154"/>
      <c r="CG325" s="154"/>
      <c r="CH325" s="154"/>
      <c r="CI325" s="154"/>
      <c r="CJ325" s="154"/>
      <c r="CK325" s="154"/>
      <c r="CL325" s="154"/>
      <c r="CM325" s="154"/>
      <c r="CN325" s="154"/>
      <c r="CO325" s="154"/>
      <c r="CP325" s="154"/>
      <c r="CQ325" s="154"/>
      <c r="CR325" s="154"/>
      <c r="CS325" s="154"/>
      <c r="CT325" s="154"/>
      <c r="CU325" s="154"/>
      <c r="CV325" s="154"/>
      <c r="CW325" s="154"/>
      <c r="CX325" s="154"/>
      <c r="CY325" s="154"/>
      <c r="CZ325" s="154"/>
      <c r="DA325" s="154"/>
      <c r="DB325" s="154"/>
      <c r="DC325" s="154"/>
      <c r="DD325" s="154"/>
      <c r="DE325" s="154"/>
      <c r="DF325" s="154"/>
      <c r="DG325" s="154"/>
      <c r="DH325" s="154"/>
      <c r="DI325" s="154"/>
      <c r="DJ325" s="154"/>
      <c r="DK325" s="154"/>
      <c r="DL325" s="154"/>
      <c r="DM325" s="154"/>
      <c r="DN325" s="154"/>
      <c r="DO325" s="154"/>
      <c r="DP325" s="154"/>
      <c r="DQ325" s="154"/>
      <c r="DR325" s="154"/>
      <c r="DS325" s="154"/>
      <c r="DT325" s="154"/>
      <c r="DU325" s="154"/>
      <c r="DV325" s="154"/>
      <c r="DW325" s="154"/>
      <c r="DX325" s="154"/>
      <c r="DY325" s="154"/>
      <c r="DZ325" s="154"/>
      <c r="EA325" s="154"/>
      <c r="EB325" s="154"/>
      <c r="EC325" s="154"/>
      <c r="ED325" s="154"/>
      <c r="EE325" s="154"/>
      <c r="EF325" s="154"/>
      <c r="EG325" s="154"/>
      <c r="EH325" s="154"/>
      <c r="EI325" s="154"/>
      <c r="EJ325" s="154"/>
      <c r="EK325" s="154"/>
      <c r="EL325" s="154"/>
      <c r="EM325" s="154"/>
      <c r="EN325" s="154"/>
      <c r="EO325" s="154"/>
      <c r="EP325" s="154"/>
      <c r="EQ325" s="154"/>
      <c r="ER325" s="154"/>
      <c r="ES325" s="154"/>
      <c r="ET325" s="154"/>
      <c r="EU325" s="154"/>
      <c r="EV325" s="154"/>
      <c r="EW325" s="154"/>
      <c r="EX325" s="154"/>
      <c r="EY325" s="154"/>
      <c r="EZ325" s="154"/>
      <c r="FA325" s="154"/>
      <c r="FB325" s="154"/>
      <c r="FC325" s="154"/>
      <c r="FD325" s="154"/>
      <c r="FE325" s="154"/>
      <c r="FF325" s="154"/>
      <c r="FG325" s="154"/>
      <c r="FH325" s="154"/>
      <c r="FI325" s="154"/>
      <c r="FJ325" s="154"/>
      <c r="FK325" s="154"/>
      <c r="FL325" s="154"/>
      <c r="FM325" s="154"/>
      <c r="FN325" s="154"/>
      <c r="FO325" s="154"/>
      <c r="FP325" s="154"/>
      <c r="FQ325" s="154"/>
      <c r="FR325" s="154"/>
      <c r="FS325" s="154"/>
      <c r="FT325" s="154"/>
      <c r="FU325" s="154"/>
      <c r="FV325" s="154"/>
      <c r="FW325" s="154"/>
      <c r="FX325" s="154"/>
      <c r="FY325" s="154"/>
      <c r="FZ325" s="154"/>
      <c r="GA325" s="154"/>
      <c r="GB325" s="154"/>
      <c r="GC325" s="154"/>
      <c r="GD325" s="154"/>
      <c r="GE325" s="154"/>
      <c r="GF325" s="154"/>
      <c r="GG325" s="154"/>
      <c r="GH325" s="154"/>
      <c r="GI325" s="154"/>
      <c r="GJ325" s="154"/>
      <c r="GK325" s="154"/>
      <c r="GL325" s="154"/>
      <c r="GM325" s="154"/>
      <c r="GN325" s="154"/>
      <c r="GO325" s="154"/>
      <c r="GP325" s="154"/>
      <c r="GQ325" s="154"/>
      <c r="GR325" s="154"/>
      <c r="GS325" s="154"/>
      <c r="GT325" s="154"/>
      <c r="GU325" s="154"/>
      <c r="GV325" s="154"/>
      <c r="GW325" s="154"/>
      <c r="GX325" s="154"/>
      <c r="GY325" s="154"/>
      <c r="GZ325" s="154"/>
      <c r="HA325" s="154"/>
      <c r="HB325" s="154"/>
      <c r="HC325" s="154"/>
      <c r="HD325" s="154"/>
      <c r="HE325" s="154"/>
      <c r="HF325" s="154"/>
      <c r="HG325" s="154"/>
      <c r="HH325" s="154"/>
      <c r="HI325" s="154"/>
      <c r="HJ325" s="154"/>
      <c r="HK325" s="154"/>
      <c r="HL325" s="154"/>
      <c r="HM325" s="154"/>
      <c r="HN325" s="154"/>
      <c r="HO325" s="154"/>
      <c r="HP325" s="154"/>
      <c r="HQ325" s="154"/>
      <c r="HR325" s="154"/>
      <c r="HS325" s="154"/>
      <c r="HT325" s="154"/>
      <c r="HU325" s="154"/>
      <c r="HV325" s="154"/>
      <c r="HW325" s="154"/>
      <c r="HX325" s="154"/>
      <c r="HY325" s="154"/>
      <c r="HZ325" s="154"/>
      <c r="IA325" s="154"/>
      <c r="IB325" s="154"/>
      <c r="IC325" s="154"/>
      <c r="ID325" s="154"/>
      <c r="IE325" s="154"/>
      <c r="IF325" s="154"/>
      <c r="IG325" s="154"/>
      <c r="IH325" s="154"/>
      <c r="II325" s="154"/>
      <c r="IJ325" s="154"/>
      <c r="IK325" s="154"/>
      <c r="IL325" s="154"/>
      <c r="IM325" s="154"/>
      <c r="IN325" s="154"/>
      <c r="IO325" s="154"/>
      <c r="IP325" s="154"/>
      <c r="IQ325" s="154"/>
      <c r="IR325" s="154"/>
    </row>
    <row r="326" spans="1:252" s="183" customFormat="1" x14ac:dyDescent="0.2">
      <c r="A326" s="213" t="s">
        <v>493</v>
      </c>
      <c r="B326" s="731">
        <f>SUM(Aprekini!B101,Aprekini!B107,Aprekini!B113)*Aprekini!$B$215</f>
        <v>0</v>
      </c>
      <c r="C326" s="731">
        <f>SUM(Aprekini!C101,Aprekini!C107,Aprekini!C113)*Aprekini!$B$215</f>
        <v>0</v>
      </c>
      <c r="D326" s="731">
        <f>SUM(Aprekini!D101,Aprekini!D107,Aprekini!D113)*Aprekini!$B$215</f>
        <v>4729.4173416149997</v>
      </c>
      <c r="E326" s="731">
        <f>SUM(Aprekini!E101,Aprekini!E107,Aprekini!E113)*Aprekini!$B$215</f>
        <v>5616.0183531149996</v>
      </c>
      <c r="F326" s="730">
        <f>SUM(Aprekini!F101,Aprekini!F107,Aprekini!F113)*Aprekini!$B$215</f>
        <v>5616.0183531149996</v>
      </c>
      <c r="G326" s="731">
        <f>SUM(Aprekini!G101,Aprekini!G107,Aprekini!G113)*Aprekini!$B$215</f>
        <v>5616.0183531149996</v>
      </c>
      <c r="H326" s="731">
        <f>SUM(Aprekini!H101,Aprekini!H107,Aprekini!H113)*Aprekini!$B$215</f>
        <v>5616.0183531149996</v>
      </c>
      <c r="I326" s="731">
        <f>SUM(Aprekini!I101,Aprekini!I107,Aprekini!I113)*Aprekini!$B$215</f>
        <v>5616.0183531149996</v>
      </c>
      <c r="J326" s="731">
        <f>SUM(Aprekini!J101,Aprekini!J107,Aprekini!J113)*Aprekini!$B$215</f>
        <v>5616.0183531149996</v>
      </c>
      <c r="K326" s="731">
        <f>SUM(Aprekini!K101,Aprekini!K107,Aprekini!K113)*Aprekini!$B$215</f>
        <v>5616.0183531149996</v>
      </c>
      <c r="L326" s="731">
        <f>SUM(Aprekini!L101,Aprekini!L107,Aprekini!L113)*Aprekini!$B$215</f>
        <v>5616.0183531149996</v>
      </c>
      <c r="M326" s="731">
        <f>SUM(Aprekini!M101,Aprekini!M107,Aprekini!M113)*Aprekini!$B$215</f>
        <v>5616.0183531149996</v>
      </c>
      <c r="N326" s="731">
        <f>SUM(Aprekini!N101,Aprekini!N107,Aprekini!N113)*Aprekini!$B$215</f>
        <v>886.60101150000003</v>
      </c>
      <c r="O326" s="731">
        <f>SUM(Aprekini!O101,Aprekini!O107,Aprekini!O113)*Aprekini!$B$215</f>
        <v>886.60101150000003</v>
      </c>
      <c r="P326" s="731">
        <f>SUM(Aprekini!P101,Aprekini!P107,Aprekini!P113)*Aprekini!$B$215</f>
        <v>886.60101150000003</v>
      </c>
      <c r="Q326" s="731">
        <f>SUM(Aprekini!Q101,Aprekini!Q107,Aprekini!Q113)*Aprekini!$B$215</f>
        <v>886.60101150000003</v>
      </c>
      <c r="R326" s="731">
        <f>SUM(Aprekini!R101,Aprekini!R107,Aprekini!R113)*Aprekini!$B$215</f>
        <v>886.60101150000003</v>
      </c>
      <c r="S326" s="731">
        <f>SUM(Aprekini!S101,Aprekini!S107,Aprekini!S113)*Aprekini!$B$215</f>
        <v>886.60101150000003</v>
      </c>
      <c r="T326" s="731">
        <f>SUM(Aprekini!T101,Aprekini!T107,Aprekini!T113)*Aprekini!$B$215</f>
        <v>886.60101150000003</v>
      </c>
      <c r="U326" s="731">
        <f>SUM(Aprekini!U101,Aprekini!U107,Aprekini!U113)*Aprekini!$B$215</f>
        <v>886.60101150000003</v>
      </c>
      <c r="V326" s="731">
        <f>SUM(Aprekini!V101,Aprekini!V107,Aprekini!V113)*Aprekini!$B$215</f>
        <v>886.60101150000003</v>
      </c>
      <c r="W326" s="731">
        <f>SUM(Aprekini!W101,Aprekini!W107,Aprekini!W113)*Aprekini!$B$215</f>
        <v>886.60101150000003</v>
      </c>
      <c r="X326" s="731">
        <f>SUM(Aprekini!X101,Aprekini!X107,Aprekini!X113)*Aprekini!$B$215</f>
        <v>886.60101150000003</v>
      </c>
      <c r="Y326" s="731">
        <f>SUM(Aprekini!Y101,Aprekini!Y107,Aprekini!Y113)*Aprekini!$B$215</f>
        <v>886.60101150000003</v>
      </c>
      <c r="Z326" s="731">
        <f>SUM(Aprekini!Z101,Aprekini!Z107,Aprekini!Z113)*Aprekini!$B$215</f>
        <v>886.60101150000003</v>
      </c>
      <c r="AA326" s="731">
        <f>SUM(Aprekini!AA101,Aprekini!AA107,Aprekini!AA113)*Aprekini!$B$215</f>
        <v>886.60101150000003</v>
      </c>
      <c r="AB326" s="731">
        <f>SUM(Aprekini!AB101,Aprekini!AB107,Aprekini!AB113)*Aprekini!$B$215</f>
        <v>886.60101150000003</v>
      </c>
      <c r="AC326" s="731">
        <f>SUM(Aprekini!AC101,Aprekini!AC107,Aprekini!AC113)*Aprekini!$B$215</f>
        <v>886.60101150000003</v>
      </c>
      <c r="AD326" s="731">
        <f>SUM(Aprekini!AD101,Aprekini!AD107,Aprekini!AD113)*Aprekini!$B$215</f>
        <v>886.60101150000003</v>
      </c>
      <c r="AE326" s="731">
        <f>SUM(Aprekini!AE101,Aprekini!AE107,Aprekini!AE113)*Aprekini!$B$215</f>
        <v>886.60101150000003</v>
      </c>
      <c r="AF326" s="731">
        <f>SUM(Aprekini!AF101,Aprekini!AF107,Aprekini!AF113)*Aprekini!$B$215</f>
        <v>886.60101150000003</v>
      </c>
      <c r="AG326" s="731">
        <f>SUM(Aprekini!AG101,Aprekini!AG107,Aprekini!AG113)*Aprekini!$B$215</f>
        <v>886.60101150000003</v>
      </c>
      <c r="AH326" s="731">
        <f>SUM(Aprekini!AH101,Aprekini!AH107,Aprekini!AH113)*Aprekini!$B$215</f>
        <v>886.60101150000003</v>
      </c>
      <c r="AI326" s="731">
        <f>SUM(Aprekini!AI101,Aprekini!AI107,Aprekini!AI113)*Aprekini!$B$215</f>
        <v>886.60101150000003</v>
      </c>
      <c r="AJ326" s="235"/>
      <c r="AK326" s="235"/>
      <c r="AL326" s="113"/>
      <c r="AM326" s="235"/>
      <c r="AN326" s="133"/>
      <c r="AO326" s="112"/>
      <c r="AP326" s="133"/>
      <c r="AQ326" s="112"/>
      <c r="AR326" s="133"/>
      <c r="AS326" s="235"/>
      <c r="AT326" s="235"/>
      <c r="AU326" s="235"/>
      <c r="AV326" s="235"/>
      <c r="AW326" s="235"/>
      <c r="AX326" s="235"/>
      <c r="AY326" s="235"/>
      <c r="AZ326" s="235"/>
      <c r="BA326" s="235"/>
      <c r="BB326" s="235"/>
      <c r="BC326" s="235"/>
      <c r="BD326" s="235"/>
      <c r="BE326" s="235"/>
      <c r="BF326" s="235"/>
      <c r="BG326" s="235"/>
      <c r="BH326" s="235"/>
      <c r="BI326" s="235"/>
      <c r="BJ326" s="235"/>
      <c r="BK326" s="235"/>
      <c r="BL326" s="235"/>
      <c r="BM326" s="235"/>
      <c r="BN326" s="235"/>
      <c r="BO326" s="235"/>
      <c r="BP326" s="235"/>
      <c r="BQ326" s="235"/>
      <c r="BR326" s="235"/>
      <c r="BS326" s="235"/>
      <c r="BT326" s="235"/>
      <c r="BU326" s="235"/>
      <c r="BV326" s="235"/>
      <c r="BW326" s="235"/>
      <c r="BX326" s="235"/>
      <c r="BY326" s="235"/>
      <c r="BZ326" s="235"/>
      <c r="CA326" s="235"/>
      <c r="CB326" s="235"/>
      <c r="CC326" s="235"/>
      <c r="CD326" s="235"/>
      <c r="CE326" s="235"/>
      <c r="CF326" s="235"/>
      <c r="CG326" s="235"/>
      <c r="CH326" s="235"/>
      <c r="CI326" s="235"/>
      <c r="CJ326" s="235"/>
      <c r="CK326" s="235"/>
      <c r="CL326" s="235"/>
      <c r="CM326" s="235"/>
      <c r="CN326" s="235"/>
      <c r="CO326" s="235"/>
      <c r="CP326" s="235"/>
      <c r="CQ326" s="235"/>
      <c r="CR326" s="235"/>
      <c r="CS326" s="235"/>
      <c r="CT326" s="235"/>
      <c r="CU326" s="235"/>
      <c r="CV326" s="235"/>
      <c r="CW326" s="235"/>
      <c r="CX326" s="235"/>
      <c r="CY326" s="235"/>
      <c r="CZ326" s="235"/>
      <c r="DA326" s="235"/>
      <c r="DB326" s="235"/>
      <c r="DC326" s="235"/>
      <c r="DD326" s="235"/>
      <c r="DE326" s="235"/>
      <c r="DF326" s="235"/>
      <c r="DG326" s="235"/>
      <c r="DH326" s="235"/>
      <c r="DI326" s="235"/>
      <c r="DJ326" s="235"/>
      <c r="DK326" s="235"/>
      <c r="DL326" s="235"/>
      <c r="DM326" s="235"/>
      <c r="DN326" s="235"/>
      <c r="DO326" s="235"/>
      <c r="DP326" s="235"/>
      <c r="DQ326" s="235"/>
      <c r="DR326" s="235"/>
      <c r="DS326" s="235"/>
      <c r="DT326" s="235"/>
      <c r="DU326" s="235"/>
      <c r="DV326" s="235"/>
      <c r="DW326" s="235"/>
      <c r="DX326" s="235"/>
      <c r="DY326" s="235"/>
      <c r="DZ326" s="235"/>
      <c r="EA326" s="235"/>
      <c r="EB326" s="235"/>
      <c r="EC326" s="235"/>
      <c r="ED326" s="235"/>
      <c r="EE326" s="235"/>
      <c r="EF326" s="235"/>
      <c r="EG326" s="235"/>
      <c r="EH326" s="235"/>
      <c r="EI326" s="235"/>
      <c r="EJ326" s="235"/>
      <c r="EK326" s="235"/>
      <c r="EL326" s="235"/>
      <c r="EM326" s="235"/>
      <c r="EN326" s="235"/>
      <c r="EO326" s="235"/>
      <c r="EP326" s="235"/>
      <c r="EQ326" s="235"/>
      <c r="ER326" s="235"/>
      <c r="ES326" s="235"/>
      <c r="ET326" s="235"/>
      <c r="EU326" s="235"/>
      <c r="EV326" s="235"/>
      <c r="EW326" s="235"/>
      <c r="EX326" s="235"/>
      <c r="EY326" s="235"/>
      <c r="EZ326" s="235"/>
      <c r="FA326" s="235"/>
      <c r="FB326" s="235"/>
      <c r="FC326" s="235"/>
      <c r="FD326" s="235"/>
      <c r="FE326" s="235"/>
      <c r="FF326" s="235"/>
      <c r="FG326" s="235"/>
      <c r="FH326" s="235"/>
      <c r="FI326" s="235"/>
      <c r="FJ326" s="235"/>
      <c r="FK326" s="235"/>
      <c r="FL326" s="235"/>
      <c r="FM326" s="235"/>
      <c r="FN326" s="235"/>
      <c r="FO326" s="235"/>
      <c r="FP326" s="235"/>
      <c r="FQ326" s="235"/>
      <c r="FR326" s="235"/>
      <c r="FS326" s="235"/>
      <c r="FT326" s="235"/>
      <c r="FU326" s="235"/>
      <c r="FV326" s="235"/>
      <c r="FW326" s="235"/>
      <c r="FX326" s="235"/>
      <c r="FY326" s="235"/>
      <c r="FZ326" s="235"/>
      <c r="GA326" s="235"/>
      <c r="GB326" s="235"/>
      <c r="GC326" s="235"/>
      <c r="GD326" s="235"/>
      <c r="GE326" s="235"/>
      <c r="GF326" s="235"/>
      <c r="GG326" s="235"/>
      <c r="GH326" s="235"/>
      <c r="GI326" s="235"/>
      <c r="GJ326" s="235"/>
      <c r="GK326" s="235"/>
      <c r="GL326" s="235"/>
      <c r="GM326" s="235"/>
      <c r="GN326" s="235"/>
      <c r="GO326" s="235"/>
      <c r="GP326" s="235"/>
      <c r="GQ326" s="235"/>
      <c r="GR326" s="235"/>
      <c r="GS326" s="235"/>
      <c r="GT326" s="235"/>
      <c r="GU326" s="235"/>
      <c r="GV326" s="235"/>
      <c r="GW326" s="235"/>
      <c r="GX326" s="235"/>
      <c r="GY326" s="235"/>
      <c r="GZ326" s="235"/>
      <c r="HA326" s="235"/>
      <c r="HB326" s="235"/>
      <c r="HC326" s="235"/>
      <c r="HD326" s="235"/>
      <c r="HE326" s="235"/>
      <c r="HF326" s="235"/>
      <c r="HG326" s="235"/>
      <c r="HH326" s="235"/>
      <c r="HI326" s="235"/>
      <c r="HJ326" s="235"/>
      <c r="HK326" s="235"/>
      <c r="HL326" s="235"/>
      <c r="HM326" s="235"/>
      <c r="HN326" s="235"/>
      <c r="HO326" s="235"/>
      <c r="HP326" s="235"/>
      <c r="HQ326" s="235"/>
      <c r="HR326" s="235"/>
      <c r="HS326" s="235"/>
      <c r="HT326" s="235"/>
      <c r="HU326" s="235"/>
      <c r="HV326" s="235"/>
      <c r="HW326" s="235"/>
      <c r="HX326" s="235"/>
      <c r="HY326" s="235"/>
      <c r="HZ326" s="235"/>
      <c r="IA326" s="235"/>
      <c r="IB326" s="235"/>
      <c r="IC326" s="235"/>
      <c r="ID326" s="235"/>
      <c r="IE326" s="235"/>
      <c r="IF326" s="235"/>
      <c r="IG326" s="235"/>
      <c r="IH326" s="235"/>
      <c r="II326" s="235"/>
      <c r="IJ326" s="235"/>
      <c r="IK326" s="235"/>
      <c r="IL326" s="235"/>
      <c r="IM326" s="235"/>
      <c r="IN326" s="235"/>
      <c r="IO326" s="235"/>
      <c r="IP326" s="235"/>
      <c r="IQ326" s="235"/>
      <c r="IR326" s="235"/>
    </row>
    <row r="327" spans="1:252" s="136" customFormat="1" x14ac:dyDescent="0.2">
      <c r="A327" s="178" t="s">
        <v>187</v>
      </c>
      <c r="B327" s="711">
        <f t="shared" ref="B327:AG327" si="809">SUM(B328,B334)</f>
        <v>477394.9</v>
      </c>
      <c r="C327" s="711">
        <f t="shared" si="809"/>
        <v>491716.74329999997</v>
      </c>
      <c r="D327" s="711">
        <f t="shared" si="809"/>
        <v>515892.47999999998</v>
      </c>
      <c r="E327" s="711">
        <f t="shared" si="809"/>
        <v>527179.72</v>
      </c>
      <c r="F327" s="711">
        <f t="shared" si="809"/>
        <v>536977.88</v>
      </c>
      <c r="G327" s="711">
        <f t="shared" si="809"/>
        <v>546776.04</v>
      </c>
      <c r="H327" s="711">
        <f t="shared" si="809"/>
        <v>556574.19999999995</v>
      </c>
      <c r="I327" s="711">
        <f t="shared" si="809"/>
        <v>566372.36</v>
      </c>
      <c r="J327" s="711">
        <f t="shared" si="809"/>
        <v>576170.52</v>
      </c>
      <c r="K327" s="711">
        <f t="shared" si="809"/>
        <v>585968.67999999993</v>
      </c>
      <c r="L327" s="711">
        <f t="shared" si="809"/>
        <v>597255.91999999993</v>
      </c>
      <c r="M327" s="711">
        <f t="shared" si="809"/>
        <v>608543.16</v>
      </c>
      <c r="N327" s="711">
        <f t="shared" si="809"/>
        <v>619830.4</v>
      </c>
      <c r="O327" s="711">
        <f t="shared" si="809"/>
        <v>634527.64</v>
      </c>
      <c r="P327" s="711">
        <f t="shared" si="809"/>
        <v>649224.88</v>
      </c>
      <c r="Q327" s="711">
        <f t="shared" si="809"/>
        <v>663922.12</v>
      </c>
      <c r="R327" s="711">
        <f t="shared" si="809"/>
        <v>678619.36</v>
      </c>
      <c r="S327" s="711">
        <f t="shared" si="809"/>
        <v>693316.6</v>
      </c>
      <c r="T327" s="711">
        <f t="shared" si="809"/>
        <v>708013.84</v>
      </c>
      <c r="U327" s="711">
        <f t="shared" si="809"/>
        <v>722711.08000000007</v>
      </c>
      <c r="V327" s="711">
        <f t="shared" si="809"/>
        <v>737408.32000000007</v>
      </c>
      <c r="W327" s="711">
        <f t="shared" si="809"/>
        <v>752105.56</v>
      </c>
      <c r="X327" s="711">
        <f t="shared" si="809"/>
        <v>766802.8</v>
      </c>
      <c r="Y327" s="711">
        <f t="shared" si="809"/>
        <v>781500.04</v>
      </c>
      <c r="Z327" s="711">
        <f t="shared" si="809"/>
        <v>796197.28</v>
      </c>
      <c r="AA327" s="711">
        <f t="shared" si="809"/>
        <v>810894.52</v>
      </c>
      <c r="AB327" s="711">
        <f t="shared" si="809"/>
        <v>827080.84</v>
      </c>
      <c r="AC327" s="711">
        <f t="shared" si="809"/>
        <v>843267.16</v>
      </c>
      <c r="AD327" s="711">
        <f t="shared" si="809"/>
        <v>859453.48</v>
      </c>
      <c r="AE327" s="711">
        <f t="shared" si="809"/>
        <v>875639.8</v>
      </c>
      <c r="AF327" s="711">
        <f t="shared" si="809"/>
        <v>895236.12</v>
      </c>
      <c r="AG327" s="711">
        <f t="shared" si="809"/>
        <v>914832.44</v>
      </c>
      <c r="AH327" s="711">
        <f>SUM(AH328,AH334)</f>
        <v>934428.76</v>
      </c>
      <c r="AI327" s="711">
        <f>SUM(AI328,AI334)</f>
        <v>954025.08</v>
      </c>
      <c r="AJ327" s="154"/>
      <c r="AK327" s="154"/>
      <c r="AL327" s="113"/>
      <c r="AM327" s="154"/>
      <c r="AN327" s="133"/>
      <c r="AO327" s="112"/>
      <c r="AP327" s="133"/>
      <c r="AQ327" s="112"/>
      <c r="AR327" s="133"/>
      <c r="AS327" s="154"/>
      <c r="AT327" s="154"/>
      <c r="AU327" s="154"/>
      <c r="AV327" s="154"/>
      <c r="AW327" s="154"/>
      <c r="AX327" s="154"/>
      <c r="AY327" s="154"/>
      <c r="AZ327" s="154"/>
      <c r="BA327" s="154"/>
      <c r="BB327" s="154"/>
      <c r="BC327" s="154"/>
      <c r="BD327" s="154"/>
      <c r="BE327" s="154"/>
      <c r="BF327" s="154"/>
      <c r="BG327" s="154"/>
      <c r="BH327" s="154"/>
      <c r="BI327" s="154"/>
      <c r="BJ327" s="154"/>
      <c r="BK327" s="154"/>
      <c r="BL327" s="154"/>
      <c r="BM327" s="154"/>
      <c r="BN327" s="154"/>
      <c r="BO327" s="154"/>
      <c r="BP327" s="154"/>
      <c r="BQ327" s="154"/>
      <c r="BR327" s="154"/>
      <c r="BS327" s="154"/>
      <c r="BT327" s="154"/>
      <c r="BU327" s="154"/>
      <c r="BV327" s="154"/>
      <c r="BW327" s="154"/>
      <c r="BX327" s="154"/>
      <c r="BY327" s="154"/>
      <c r="BZ327" s="154"/>
      <c r="CA327" s="154"/>
      <c r="CB327" s="154"/>
      <c r="CC327" s="154"/>
      <c r="CD327" s="154"/>
      <c r="CE327" s="154"/>
      <c r="CF327" s="154"/>
      <c r="CG327" s="154"/>
      <c r="CH327" s="154"/>
      <c r="CI327" s="154"/>
      <c r="CJ327" s="154"/>
      <c r="CK327" s="154"/>
      <c r="CL327" s="154"/>
      <c r="CM327" s="154"/>
      <c r="CN327" s="154"/>
      <c r="CO327" s="154"/>
      <c r="CP327" s="154"/>
      <c r="CQ327" s="154"/>
      <c r="CR327" s="154"/>
      <c r="CS327" s="154"/>
      <c r="CT327" s="154"/>
      <c r="CU327" s="154"/>
      <c r="CV327" s="154"/>
      <c r="CW327" s="154"/>
      <c r="CX327" s="154"/>
      <c r="CY327" s="154"/>
      <c r="CZ327" s="154"/>
      <c r="DA327" s="154"/>
      <c r="DB327" s="154"/>
      <c r="DC327" s="154"/>
      <c r="DD327" s="154"/>
      <c r="DE327" s="154"/>
      <c r="DF327" s="154"/>
      <c r="DG327" s="154"/>
      <c r="DH327" s="154"/>
      <c r="DI327" s="154"/>
      <c r="DJ327" s="154"/>
      <c r="DK327" s="154"/>
      <c r="DL327" s="154"/>
      <c r="DM327" s="154"/>
      <c r="DN327" s="154"/>
      <c r="DO327" s="154"/>
      <c r="DP327" s="154"/>
      <c r="DQ327" s="154"/>
      <c r="DR327" s="154"/>
      <c r="DS327" s="154"/>
      <c r="DT327" s="154"/>
      <c r="DU327" s="154"/>
      <c r="DV327" s="154"/>
      <c r="DW327" s="154"/>
      <c r="DX327" s="154"/>
      <c r="DY327" s="154"/>
      <c r="DZ327" s="154"/>
      <c r="EA327" s="154"/>
      <c r="EB327" s="154"/>
      <c r="EC327" s="154"/>
      <c r="ED327" s="154"/>
      <c r="EE327" s="154"/>
      <c r="EF327" s="154"/>
      <c r="EG327" s="154"/>
      <c r="EH327" s="154"/>
      <c r="EI327" s="154"/>
      <c r="EJ327" s="154"/>
      <c r="EK327" s="154"/>
      <c r="EL327" s="154"/>
      <c r="EM327" s="154"/>
      <c r="EN327" s="154"/>
      <c r="EO327" s="154"/>
      <c r="EP327" s="154"/>
      <c r="EQ327" s="154"/>
      <c r="ER327" s="154"/>
      <c r="ES327" s="154"/>
      <c r="ET327" s="154"/>
      <c r="EU327" s="154"/>
      <c r="EV327" s="154"/>
      <c r="EW327" s="154"/>
      <c r="EX327" s="154"/>
      <c r="EY327" s="154"/>
      <c r="EZ327" s="154"/>
      <c r="FA327" s="154"/>
      <c r="FB327" s="154"/>
      <c r="FC327" s="154"/>
      <c r="FD327" s="154"/>
      <c r="FE327" s="154"/>
      <c r="FF327" s="154"/>
      <c r="FG327" s="154"/>
      <c r="FH327" s="154"/>
      <c r="FI327" s="154"/>
      <c r="FJ327" s="154"/>
      <c r="FK327" s="154"/>
      <c r="FL327" s="154"/>
      <c r="FM327" s="154"/>
      <c r="FN327" s="154"/>
      <c r="FO327" s="154"/>
      <c r="FP327" s="154"/>
      <c r="FQ327" s="154"/>
      <c r="FR327" s="154"/>
      <c r="FS327" s="154"/>
      <c r="FT327" s="154"/>
      <c r="FU327" s="154"/>
      <c r="FV327" s="154"/>
      <c r="FW327" s="154"/>
      <c r="FX327" s="154"/>
      <c r="FY327" s="154"/>
      <c r="FZ327" s="154"/>
      <c r="GA327" s="154"/>
      <c r="GB327" s="154"/>
      <c r="GC327" s="154"/>
      <c r="GD327" s="154"/>
      <c r="GE327" s="154"/>
      <c r="GF327" s="154"/>
      <c r="GG327" s="154"/>
      <c r="GH327" s="154"/>
      <c r="GI327" s="154"/>
      <c r="GJ327" s="154"/>
      <c r="GK327" s="154"/>
      <c r="GL327" s="154"/>
      <c r="GM327" s="154"/>
      <c r="GN327" s="154"/>
      <c r="GO327" s="154"/>
      <c r="GP327" s="154"/>
      <c r="GQ327" s="154"/>
      <c r="GR327" s="154"/>
      <c r="GS327" s="154"/>
      <c r="GT327" s="154"/>
      <c r="GU327" s="154"/>
      <c r="GV327" s="154"/>
      <c r="GW327" s="154"/>
      <c r="GX327" s="154"/>
      <c r="GY327" s="154"/>
      <c r="GZ327" s="154"/>
      <c r="HA327" s="154"/>
      <c r="HB327" s="154"/>
      <c r="HC327" s="154"/>
      <c r="HD327" s="154"/>
      <c r="HE327" s="154"/>
      <c r="HF327" s="154"/>
      <c r="HG327" s="154"/>
      <c r="HH327" s="154"/>
      <c r="HI327" s="154"/>
      <c r="HJ327" s="154"/>
      <c r="HK327" s="154"/>
      <c r="HL327" s="154"/>
      <c r="HM327" s="154"/>
      <c r="HN327" s="154"/>
      <c r="HO327" s="154"/>
      <c r="HP327" s="154"/>
      <c r="HQ327" s="154"/>
      <c r="HR327" s="154"/>
      <c r="HS327" s="154"/>
      <c r="HT327" s="154"/>
      <c r="HU327" s="154"/>
      <c r="HV327" s="154"/>
      <c r="HW327" s="154"/>
      <c r="HX327" s="154"/>
      <c r="HY327" s="154"/>
      <c r="HZ327" s="154"/>
      <c r="IA327" s="154"/>
      <c r="IB327" s="154"/>
      <c r="IC327" s="154"/>
      <c r="ID327" s="154"/>
      <c r="IE327" s="154"/>
      <c r="IF327" s="154"/>
      <c r="IG327" s="154"/>
      <c r="IH327" s="154"/>
      <c r="II327" s="154"/>
      <c r="IJ327" s="154"/>
      <c r="IK327" s="154"/>
      <c r="IL327" s="154"/>
      <c r="IM327" s="154"/>
      <c r="IN327" s="154"/>
      <c r="IO327" s="154"/>
      <c r="IP327" s="154"/>
      <c r="IQ327" s="154"/>
      <c r="IR327" s="154"/>
    </row>
    <row r="328" spans="1:252" s="136" customFormat="1" x14ac:dyDescent="0.2">
      <c r="A328" s="234" t="s">
        <v>188</v>
      </c>
      <c r="B328" s="734">
        <f t="shared" ref="B328:AG328" si="810">SUM(B329:B333)</f>
        <v>329276.11</v>
      </c>
      <c r="C328" s="734">
        <f t="shared" si="810"/>
        <v>339154.3933</v>
      </c>
      <c r="D328" s="734">
        <f t="shared" si="810"/>
        <v>358050</v>
      </c>
      <c r="E328" s="734">
        <f t="shared" si="810"/>
        <v>364870</v>
      </c>
      <c r="F328" s="734">
        <f t="shared" si="810"/>
        <v>371690</v>
      </c>
      <c r="G328" s="734">
        <f t="shared" si="810"/>
        <v>378510</v>
      </c>
      <c r="H328" s="734">
        <f t="shared" si="810"/>
        <v>385330</v>
      </c>
      <c r="I328" s="734">
        <f t="shared" si="810"/>
        <v>392150</v>
      </c>
      <c r="J328" s="734">
        <f t="shared" si="810"/>
        <v>398970</v>
      </c>
      <c r="K328" s="734">
        <f t="shared" si="810"/>
        <v>405790</v>
      </c>
      <c r="L328" s="734">
        <f t="shared" si="810"/>
        <v>412610</v>
      </c>
      <c r="M328" s="734">
        <f t="shared" si="810"/>
        <v>419430</v>
      </c>
      <c r="N328" s="734">
        <f t="shared" si="810"/>
        <v>426250</v>
      </c>
      <c r="O328" s="734">
        <f t="shared" si="810"/>
        <v>436480</v>
      </c>
      <c r="P328" s="734">
        <f t="shared" si="810"/>
        <v>446710</v>
      </c>
      <c r="Q328" s="734">
        <f t="shared" si="810"/>
        <v>456940</v>
      </c>
      <c r="R328" s="734">
        <f t="shared" si="810"/>
        <v>467170</v>
      </c>
      <c r="S328" s="734">
        <f t="shared" si="810"/>
        <v>477400</v>
      </c>
      <c r="T328" s="734">
        <f t="shared" si="810"/>
        <v>487630</v>
      </c>
      <c r="U328" s="734">
        <f t="shared" si="810"/>
        <v>497860</v>
      </c>
      <c r="V328" s="734">
        <f t="shared" si="810"/>
        <v>508090</v>
      </c>
      <c r="W328" s="734">
        <f t="shared" si="810"/>
        <v>518320</v>
      </c>
      <c r="X328" s="734">
        <f t="shared" si="810"/>
        <v>528550</v>
      </c>
      <c r="Y328" s="734">
        <f t="shared" si="810"/>
        <v>538780</v>
      </c>
      <c r="Z328" s="734">
        <f t="shared" si="810"/>
        <v>549010</v>
      </c>
      <c r="AA328" s="734">
        <f t="shared" si="810"/>
        <v>559240</v>
      </c>
      <c r="AB328" s="734">
        <f t="shared" si="810"/>
        <v>569470</v>
      </c>
      <c r="AC328" s="734">
        <f t="shared" si="810"/>
        <v>579700</v>
      </c>
      <c r="AD328" s="734">
        <f t="shared" si="810"/>
        <v>589930</v>
      </c>
      <c r="AE328" s="734">
        <f t="shared" si="810"/>
        <v>600160</v>
      </c>
      <c r="AF328" s="734">
        <f t="shared" si="810"/>
        <v>613800</v>
      </c>
      <c r="AG328" s="734">
        <f t="shared" si="810"/>
        <v>627440</v>
      </c>
      <c r="AH328" s="734">
        <f>SUM(AH329:AH333)</f>
        <v>641080</v>
      </c>
      <c r="AI328" s="734">
        <f>SUM(AI329:AI333)</f>
        <v>654720</v>
      </c>
      <c r="AJ328" s="154"/>
      <c r="AK328" s="154"/>
      <c r="AL328" s="113"/>
      <c r="AM328" s="154"/>
      <c r="AN328" s="133"/>
      <c r="AO328" s="112"/>
      <c r="AP328" s="133"/>
      <c r="AQ328" s="112"/>
      <c r="AR328" s="133"/>
      <c r="AS328" s="154"/>
      <c r="AT328" s="154"/>
      <c r="AU328" s="154"/>
      <c r="AV328" s="154"/>
      <c r="AW328" s="154"/>
      <c r="AX328" s="154"/>
      <c r="AY328" s="154"/>
      <c r="AZ328" s="154"/>
      <c r="BA328" s="154"/>
      <c r="BB328" s="154"/>
      <c r="BC328" s="154"/>
      <c r="BD328" s="154"/>
      <c r="BE328" s="154"/>
      <c r="BF328" s="154"/>
      <c r="BG328" s="154"/>
      <c r="BH328" s="154"/>
      <c r="BI328" s="154"/>
      <c r="BJ328" s="154"/>
      <c r="BK328" s="154"/>
      <c r="BL328" s="154"/>
      <c r="BM328" s="154"/>
      <c r="BN328" s="154"/>
      <c r="BO328" s="154"/>
      <c r="BP328" s="154"/>
      <c r="BQ328" s="154"/>
      <c r="BR328" s="154"/>
      <c r="BS328" s="154"/>
      <c r="BT328" s="154"/>
      <c r="BU328" s="154"/>
      <c r="BV328" s="154"/>
      <c r="BW328" s="154"/>
      <c r="BX328" s="154"/>
      <c r="BY328" s="154"/>
      <c r="BZ328" s="154"/>
      <c r="CA328" s="154"/>
      <c r="CB328" s="154"/>
      <c r="CC328" s="154"/>
      <c r="CD328" s="154"/>
      <c r="CE328" s="154"/>
      <c r="CF328" s="154"/>
      <c r="CG328" s="154"/>
      <c r="CH328" s="154"/>
      <c r="CI328" s="154"/>
      <c r="CJ328" s="154"/>
      <c r="CK328" s="154"/>
      <c r="CL328" s="154"/>
      <c r="CM328" s="154"/>
      <c r="CN328" s="154"/>
      <c r="CO328" s="154"/>
      <c r="CP328" s="154"/>
      <c r="CQ328" s="154"/>
      <c r="CR328" s="154"/>
      <c r="CS328" s="154"/>
      <c r="CT328" s="154"/>
      <c r="CU328" s="154"/>
      <c r="CV328" s="154"/>
      <c r="CW328" s="154"/>
      <c r="CX328" s="154"/>
      <c r="CY328" s="154"/>
      <c r="CZ328" s="154"/>
      <c r="DA328" s="154"/>
      <c r="DB328" s="154"/>
      <c r="DC328" s="154"/>
      <c r="DD328" s="154"/>
      <c r="DE328" s="154"/>
      <c r="DF328" s="154"/>
      <c r="DG328" s="154"/>
      <c r="DH328" s="154"/>
      <c r="DI328" s="154"/>
      <c r="DJ328" s="154"/>
      <c r="DK328" s="154"/>
      <c r="DL328" s="154"/>
      <c r="DM328" s="154"/>
      <c r="DN328" s="154"/>
      <c r="DO328" s="154"/>
      <c r="DP328" s="154"/>
      <c r="DQ328" s="154"/>
      <c r="DR328" s="154"/>
      <c r="DS328" s="154"/>
      <c r="DT328" s="154"/>
      <c r="DU328" s="154"/>
      <c r="DV328" s="154"/>
      <c r="DW328" s="154"/>
      <c r="DX328" s="154"/>
      <c r="DY328" s="154"/>
      <c r="DZ328" s="154"/>
      <c r="EA328" s="154"/>
      <c r="EB328" s="154"/>
      <c r="EC328" s="154"/>
      <c r="ED328" s="154"/>
      <c r="EE328" s="154"/>
      <c r="EF328" s="154"/>
      <c r="EG328" s="154"/>
      <c r="EH328" s="154"/>
      <c r="EI328" s="154"/>
      <c r="EJ328" s="154"/>
      <c r="EK328" s="154"/>
      <c r="EL328" s="154"/>
      <c r="EM328" s="154"/>
      <c r="EN328" s="154"/>
      <c r="EO328" s="154"/>
      <c r="EP328" s="154"/>
      <c r="EQ328" s="154"/>
      <c r="ER328" s="154"/>
      <c r="ES328" s="154"/>
      <c r="ET328" s="154"/>
      <c r="EU328" s="154"/>
      <c r="EV328" s="154"/>
      <c r="EW328" s="154"/>
      <c r="EX328" s="154"/>
      <c r="EY328" s="154"/>
      <c r="EZ328" s="154"/>
      <c r="FA328" s="154"/>
      <c r="FB328" s="154"/>
      <c r="FC328" s="154"/>
      <c r="FD328" s="154"/>
      <c r="FE328" s="154"/>
      <c r="FF328" s="154"/>
      <c r="FG328" s="154"/>
      <c r="FH328" s="154"/>
      <c r="FI328" s="154"/>
      <c r="FJ328" s="154"/>
      <c r="FK328" s="154"/>
      <c r="FL328" s="154"/>
      <c r="FM328" s="154"/>
      <c r="FN328" s="154"/>
      <c r="FO328" s="154"/>
      <c r="FP328" s="154"/>
      <c r="FQ328" s="154"/>
      <c r="FR328" s="154"/>
      <c r="FS328" s="154"/>
      <c r="FT328" s="154"/>
      <c r="FU328" s="154"/>
      <c r="FV328" s="154"/>
      <c r="FW328" s="154"/>
      <c r="FX328" s="154"/>
      <c r="FY328" s="154"/>
      <c r="FZ328" s="154"/>
      <c r="GA328" s="154"/>
      <c r="GB328" s="154"/>
      <c r="GC328" s="154"/>
      <c r="GD328" s="154"/>
      <c r="GE328" s="154"/>
      <c r="GF328" s="154"/>
      <c r="GG328" s="154"/>
      <c r="GH328" s="154"/>
      <c r="GI328" s="154"/>
      <c r="GJ328" s="154"/>
      <c r="GK328" s="154"/>
      <c r="GL328" s="154"/>
      <c r="GM328" s="154"/>
      <c r="GN328" s="154"/>
      <c r="GO328" s="154"/>
      <c r="GP328" s="154"/>
      <c r="GQ328" s="154"/>
      <c r="GR328" s="154"/>
      <c r="GS328" s="154"/>
      <c r="GT328" s="154"/>
      <c r="GU328" s="154"/>
      <c r="GV328" s="154"/>
      <c r="GW328" s="154"/>
      <c r="GX328" s="154"/>
      <c r="GY328" s="154"/>
      <c r="GZ328" s="154"/>
      <c r="HA328" s="154"/>
      <c r="HB328" s="154"/>
      <c r="HC328" s="154"/>
      <c r="HD328" s="154"/>
      <c r="HE328" s="154"/>
      <c r="HF328" s="154"/>
      <c r="HG328" s="154"/>
      <c r="HH328" s="154"/>
      <c r="HI328" s="154"/>
      <c r="HJ328" s="154"/>
      <c r="HK328" s="154"/>
      <c r="HL328" s="154"/>
      <c r="HM328" s="154"/>
      <c r="HN328" s="154"/>
      <c r="HO328" s="154"/>
      <c r="HP328" s="154"/>
      <c r="HQ328" s="154"/>
      <c r="HR328" s="154"/>
      <c r="HS328" s="154"/>
      <c r="HT328" s="154"/>
      <c r="HU328" s="154"/>
      <c r="HV328" s="154"/>
      <c r="HW328" s="154"/>
      <c r="HX328" s="154"/>
      <c r="HY328" s="154"/>
      <c r="HZ328" s="154"/>
      <c r="IA328" s="154"/>
      <c r="IB328" s="154"/>
      <c r="IC328" s="154"/>
      <c r="ID328" s="154"/>
      <c r="IE328" s="154"/>
      <c r="IF328" s="154"/>
      <c r="IG328" s="154"/>
      <c r="IH328" s="154"/>
      <c r="II328" s="154"/>
      <c r="IJ328" s="154"/>
      <c r="IK328" s="154"/>
      <c r="IL328" s="154"/>
      <c r="IM328" s="154"/>
      <c r="IN328" s="154"/>
      <c r="IO328" s="154"/>
      <c r="IP328" s="154"/>
      <c r="IQ328" s="154"/>
      <c r="IR328" s="154"/>
    </row>
    <row r="329" spans="1:252" s="183" customFormat="1" x14ac:dyDescent="0.2">
      <c r="A329" s="213" t="s">
        <v>189</v>
      </c>
      <c r="B329" s="731">
        <f>'Saimnieciskas pamatdarbibas NP'!B65+'Saimnieciskas pamatdarbibas NP'!B71</f>
        <v>77445.740000000005</v>
      </c>
      <c r="C329" s="731">
        <f>'Saimnieciskas pamatdarbibas NP'!C65+'Saimnieciskas pamatdarbibas NP'!C71</f>
        <v>79769.112200000003</v>
      </c>
      <c r="D329" s="731">
        <f>'Saimnieciskas pamatdarbibas NP'!D65+'Saimnieciskas pamatdarbibas NP'!D71</f>
        <v>89250</v>
      </c>
      <c r="E329" s="731">
        <f>'Saimnieciskas pamatdarbibas NP'!E65+'Saimnieciskas pamatdarbibas NP'!E71</f>
        <v>90950</v>
      </c>
      <c r="F329" s="730">
        <f>'Saimnieciskas pamatdarbibas NP'!F65+'Saimnieciskas pamatdarbibas NP'!F71</f>
        <v>92650.000000000015</v>
      </c>
      <c r="G329" s="731">
        <f>'Saimnieciskas pamatdarbibas NP'!G65+'Saimnieciskas pamatdarbibas NP'!G71</f>
        <v>94350</v>
      </c>
      <c r="H329" s="731">
        <f>'Saimnieciskas pamatdarbibas NP'!H65+'Saimnieciskas pamatdarbibas NP'!H71</f>
        <v>96050</v>
      </c>
      <c r="I329" s="731">
        <f>'Saimnieciskas pamatdarbibas NP'!I65+'Saimnieciskas pamatdarbibas NP'!I71</f>
        <v>97750</v>
      </c>
      <c r="J329" s="731">
        <f>'Saimnieciskas pamatdarbibas NP'!J65+'Saimnieciskas pamatdarbibas NP'!J71</f>
        <v>99450</v>
      </c>
      <c r="K329" s="731">
        <f>'Saimnieciskas pamatdarbibas NP'!K65+'Saimnieciskas pamatdarbibas NP'!K71</f>
        <v>101150</v>
      </c>
      <c r="L329" s="731">
        <f>'Saimnieciskas pamatdarbibas NP'!L65+'Saimnieciskas pamatdarbibas NP'!L71</f>
        <v>102850</v>
      </c>
      <c r="M329" s="731">
        <f>'Saimnieciskas pamatdarbibas NP'!M65+'Saimnieciskas pamatdarbibas NP'!M71</f>
        <v>104550</v>
      </c>
      <c r="N329" s="731">
        <f>'Saimnieciskas pamatdarbibas NP'!N65+'Saimnieciskas pamatdarbibas NP'!N71</f>
        <v>106250</v>
      </c>
      <c r="O329" s="731">
        <f>'Saimnieciskas pamatdarbibas NP'!O65+'Saimnieciskas pamatdarbibas NP'!O71</f>
        <v>108800</v>
      </c>
      <c r="P329" s="731">
        <f>'Saimnieciskas pamatdarbibas NP'!P65+'Saimnieciskas pamatdarbibas NP'!P71</f>
        <v>111350</v>
      </c>
      <c r="Q329" s="731">
        <f>'Saimnieciskas pamatdarbibas NP'!Q65+'Saimnieciskas pamatdarbibas NP'!Q71</f>
        <v>113900</v>
      </c>
      <c r="R329" s="731">
        <f>'Saimnieciskas pamatdarbibas NP'!R65+'Saimnieciskas pamatdarbibas NP'!R71</f>
        <v>116450</v>
      </c>
      <c r="S329" s="731">
        <f>'Saimnieciskas pamatdarbibas NP'!S65+'Saimnieciskas pamatdarbibas NP'!S71</f>
        <v>119000</v>
      </c>
      <c r="T329" s="731">
        <f>'Saimnieciskas pamatdarbibas NP'!T65+'Saimnieciskas pamatdarbibas NP'!T71</f>
        <v>121550</v>
      </c>
      <c r="U329" s="731">
        <f>'Saimnieciskas pamatdarbibas NP'!U65+'Saimnieciskas pamatdarbibas NP'!U71</f>
        <v>124100</v>
      </c>
      <c r="V329" s="731">
        <f>'Saimnieciskas pamatdarbibas NP'!V65+'Saimnieciskas pamatdarbibas NP'!V71</f>
        <v>126650</v>
      </c>
      <c r="W329" s="731">
        <f>'Saimnieciskas pamatdarbibas NP'!W65+'Saimnieciskas pamatdarbibas NP'!W71</f>
        <v>129200</v>
      </c>
      <c r="X329" s="731">
        <f>'Saimnieciskas pamatdarbibas NP'!X65+'Saimnieciskas pamatdarbibas NP'!X71</f>
        <v>131750</v>
      </c>
      <c r="Y329" s="731">
        <f>'Saimnieciskas pamatdarbibas NP'!Y65+'Saimnieciskas pamatdarbibas NP'!Y71</f>
        <v>134300</v>
      </c>
      <c r="Z329" s="731">
        <f>'Saimnieciskas pamatdarbibas NP'!Z65+'Saimnieciskas pamatdarbibas NP'!Z71</f>
        <v>136850</v>
      </c>
      <c r="AA329" s="731">
        <f>'Saimnieciskas pamatdarbibas NP'!AA65+'Saimnieciskas pamatdarbibas NP'!AA71</f>
        <v>139400</v>
      </c>
      <c r="AB329" s="731">
        <f>'Saimnieciskas pamatdarbibas NP'!AB65+'Saimnieciskas pamatdarbibas NP'!AB71</f>
        <v>141950</v>
      </c>
      <c r="AC329" s="731">
        <f>'Saimnieciskas pamatdarbibas NP'!AC65+'Saimnieciskas pamatdarbibas NP'!AC71</f>
        <v>144500</v>
      </c>
      <c r="AD329" s="731">
        <f>'Saimnieciskas pamatdarbibas NP'!AD65+'Saimnieciskas pamatdarbibas NP'!AD71</f>
        <v>147050</v>
      </c>
      <c r="AE329" s="731">
        <f>'Saimnieciskas pamatdarbibas NP'!AE65+'Saimnieciskas pamatdarbibas NP'!AE71</f>
        <v>149600</v>
      </c>
      <c r="AF329" s="731">
        <f>'Saimnieciskas pamatdarbibas NP'!AF65+'Saimnieciskas pamatdarbibas NP'!AF71</f>
        <v>153000</v>
      </c>
      <c r="AG329" s="731">
        <f>'Saimnieciskas pamatdarbibas NP'!AG65+'Saimnieciskas pamatdarbibas NP'!AG71</f>
        <v>156400</v>
      </c>
      <c r="AH329" s="731">
        <f>'Saimnieciskas pamatdarbibas NP'!AH65+'Saimnieciskas pamatdarbibas NP'!AH71</f>
        <v>159800</v>
      </c>
      <c r="AI329" s="731">
        <f>'Saimnieciskas pamatdarbibas NP'!AI65+'Saimnieciskas pamatdarbibas NP'!AI71</f>
        <v>163200</v>
      </c>
      <c r="AJ329" s="235"/>
      <c r="AK329" s="235"/>
      <c r="AL329" s="113"/>
      <c r="AM329" s="235"/>
      <c r="AN329" s="133"/>
      <c r="AO329" s="112"/>
      <c r="AP329" s="133"/>
      <c r="AQ329" s="112"/>
      <c r="AR329" s="133"/>
      <c r="AS329" s="235"/>
      <c r="AT329" s="235"/>
      <c r="AU329" s="235"/>
      <c r="AV329" s="235"/>
      <c r="AW329" s="235"/>
      <c r="AX329" s="235"/>
      <c r="AY329" s="235"/>
      <c r="AZ329" s="235"/>
      <c r="BA329" s="235"/>
      <c r="BB329" s="235"/>
      <c r="BC329" s="235"/>
      <c r="BD329" s="235"/>
      <c r="BE329" s="235"/>
      <c r="BF329" s="235"/>
      <c r="BG329" s="235"/>
      <c r="BH329" s="235"/>
      <c r="BI329" s="235"/>
      <c r="BJ329" s="235"/>
      <c r="BK329" s="235"/>
      <c r="BL329" s="235"/>
      <c r="BM329" s="235"/>
      <c r="BN329" s="235"/>
      <c r="BO329" s="235"/>
      <c r="BP329" s="235"/>
      <c r="BQ329" s="235"/>
      <c r="BR329" s="235"/>
      <c r="BS329" s="235"/>
      <c r="BT329" s="235"/>
      <c r="BU329" s="235"/>
      <c r="BV329" s="235"/>
      <c r="BW329" s="235"/>
      <c r="BX329" s="235"/>
      <c r="BY329" s="235"/>
      <c r="BZ329" s="235"/>
      <c r="CA329" s="235"/>
      <c r="CB329" s="235"/>
      <c r="CC329" s="235"/>
      <c r="CD329" s="235"/>
      <c r="CE329" s="235"/>
      <c r="CF329" s="235"/>
      <c r="CG329" s="235"/>
      <c r="CH329" s="235"/>
      <c r="CI329" s="235"/>
      <c r="CJ329" s="235"/>
      <c r="CK329" s="235"/>
      <c r="CL329" s="235"/>
      <c r="CM329" s="235"/>
      <c r="CN329" s="235"/>
      <c r="CO329" s="235"/>
      <c r="CP329" s="235"/>
      <c r="CQ329" s="235"/>
      <c r="CR329" s="235"/>
      <c r="CS329" s="235"/>
      <c r="CT329" s="235"/>
      <c r="CU329" s="235"/>
      <c r="CV329" s="235"/>
      <c r="CW329" s="235"/>
      <c r="CX329" s="235"/>
      <c r="CY329" s="235"/>
      <c r="CZ329" s="235"/>
      <c r="DA329" s="235"/>
      <c r="DB329" s="235"/>
      <c r="DC329" s="235"/>
      <c r="DD329" s="235"/>
      <c r="DE329" s="235"/>
      <c r="DF329" s="235"/>
      <c r="DG329" s="235"/>
      <c r="DH329" s="235"/>
      <c r="DI329" s="235"/>
      <c r="DJ329" s="235"/>
      <c r="DK329" s="235"/>
      <c r="DL329" s="235"/>
      <c r="DM329" s="235"/>
      <c r="DN329" s="235"/>
      <c r="DO329" s="235"/>
      <c r="DP329" s="235"/>
      <c r="DQ329" s="235"/>
      <c r="DR329" s="235"/>
      <c r="DS329" s="235"/>
      <c r="DT329" s="235"/>
      <c r="DU329" s="235"/>
      <c r="DV329" s="235"/>
      <c r="DW329" s="235"/>
      <c r="DX329" s="235"/>
      <c r="DY329" s="235"/>
      <c r="DZ329" s="235"/>
      <c r="EA329" s="235"/>
      <c r="EB329" s="235"/>
      <c r="EC329" s="235"/>
      <c r="ED329" s="235"/>
      <c r="EE329" s="235"/>
      <c r="EF329" s="235"/>
      <c r="EG329" s="235"/>
      <c r="EH329" s="235"/>
      <c r="EI329" s="235"/>
      <c r="EJ329" s="235"/>
      <c r="EK329" s="235"/>
      <c r="EL329" s="235"/>
      <c r="EM329" s="235"/>
      <c r="EN329" s="235"/>
      <c r="EO329" s="235"/>
      <c r="EP329" s="235"/>
      <c r="EQ329" s="235"/>
      <c r="ER329" s="235"/>
      <c r="ES329" s="235"/>
      <c r="ET329" s="235"/>
      <c r="EU329" s="235"/>
      <c r="EV329" s="235"/>
      <c r="EW329" s="235"/>
      <c r="EX329" s="235"/>
      <c r="EY329" s="235"/>
      <c r="EZ329" s="235"/>
      <c r="FA329" s="235"/>
      <c r="FB329" s="235"/>
      <c r="FC329" s="235"/>
      <c r="FD329" s="235"/>
      <c r="FE329" s="235"/>
      <c r="FF329" s="235"/>
      <c r="FG329" s="235"/>
      <c r="FH329" s="235"/>
      <c r="FI329" s="235"/>
      <c r="FJ329" s="235"/>
      <c r="FK329" s="235"/>
      <c r="FL329" s="235"/>
      <c r="FM329" s="235"/>
      <c r="FN329" s="235"/>
      <c r="FO329" s="235"/>
      <c r="FP329" s="235"/>
      <c r="FQ329" s="235"/>
      <c r="FR329" s="235"/>
      <c r="FS329" s="235"/>
      <c r="FT329" s="235"/>
      <c r="FU329" s="235"/>
      <c r="FV329" s="235"/>
      <c r="FW329" s="235"/>
      <c r="FX329" s="235"/>
      <c r="FY329" s="235"/>
      <c r="FZ329" s="235"/>
      <c r="GA329" s="235"/>
      <c r="GB329" s="235"/>
      <c r="GC329" s="235"/>
      <c r="GD329" s="235"/>
      <c r="GE329" s="235"/>
      <c r="GF329" s="235"/>
      <c r="GG329" s="235"/>
      <c r="GH329" s="235"/>
      <c r="GI329" s="235"/>
      <c r="GJ329" s="235"/>
      <c r="GK329" s="235"/>
      <c r="GL329" s="235"/>
      <c r="GM329" s="235"/>
      <c r="GN329" s="235"/>
      <c r="GO329" s="235"/>
      <c r="GP329" s="235"/>
      <c r="GQ329" s="235"/>
      <c r="GR329" s="235"/>
      <c r="GS329" s="235"/>
      <c r="GT329" s="235"/>
      <c r="GU329" s="235"/>
      <c r="GV329" s="235"/>
      <c r="GW329" s="235"/>
      <c r="GX329" s="235"/>
      <c r="GY329" s="235"/>
      <c r="GZ329" s="235"/>
      <c r="HA329" s="235"/>
      <c r="HB329" s="235"/>
      <c r="HC329" s="235"/>
      <c r="HD329" s="235"/>
      <c r="HE329" s="235"/>
      <c r="HF329" s="235"/>
      <c r="HG329" s="235"/>
      <c r="HH329" s="235"/>
      <c r="HI329" s="235"/>
      <c r="HJ329" s="235"/>
      <c r="HK329" s="235"/>
      <c r="HL329" s="235"/>
      <c r="HM329" s="235"/>
      <c r="HN329" s="235"/>
      <c r="HO329" s="235"/>
      <c r="HP329" s="235"/>
      <c r="HQ329" s="235"/>
      <c r="HR329" s="235"/>
      <c r="HS329" s="235"/>
      <c r="HT329" s="235"/>
      <c r="HU329" s="235"/>
      <c r="HV329" s="235"/>
      <c r="HW329" s="235"/>
      <c r="HX329" s="235"/>
      <c r="HY329" s="235"/>
      <c r="HZ329" s="235"/>
      <c r="IA329" s="235"/>
      <c r="IB329" s="235"/>
      <c r="IC329" s="235"/>
      <c r="ID329" s="235"/>
      <c r="IE329" s="235"/>
      <c r="IF329" s="235"/>
      <c r="IG329" s="235"/>
      <c r="IH329" s="235"/>
      <c r="II329" s="235"/>
      <c r="IJ329" s="235"/>
      <c r="IK329" s="235"/>
      <c r="IL329" s="235"/>
      <c r="IM329" s="235"/>
      <c r="IN329" s="235"/>
      <c r="IO329" s="235"/>
      <c r="IP329" s="235"/>
      <c r="IQ329" s="235"/>
      <c r="IR329" s="235"/>
    </row>
    <row r="330" spans="1:252" s="183" customFormat="1" x14ac:dyDescent="0.2">
      <c r="A330" s="213" t="s">
        <v>190</v>
      </c>
      <c r="B330" s="731">
        <f>'Saimnieciskas pamatdarbibas NP'!B66+'Saimnieciskas pamatdarbibas NP'!B72</f>
        <v>103929</v>
      </c>
      <c r="C330" s="731">
        <f>'Saimnieciskas pamatdarbibas NP'!C66+'Saimnieciskas pamatdarbibas NP'!C72</f>
        <v>107046.87</v>
      </c>
      <c r="D330" s="731">
        <f>'Saimnieciskas pamatdarbibas NP'!D66+'Saimnieciskas pamatdarbibas NP'!D72</f>
        <v>110250</v>
      </c>
      <c r="E330" s="731">
        <f>'Saimnieciskas pamatdarbibas NP'!E66+'Saimnieciskas pamatdarbibas NP'!E72</f>
        <v>112350</v>
      </c>
      <c r="F330" s="730">
        <f>'Saimnieciskas pamatdarbibas NP'!F66+'Saimnieciskas pamatdarbibas NP'!F72</f>
        <v>114450</v>
      </c>
      <c r="G330" s="731">
        <f>'Saimnieciskas pamatdarbibas NP'!G66+'Saimnieciskas pamatdarbibas NP'!G72</f>
        <v>116550</v>
      </c>
      <c r="H330" s="731">
        <f>'Saimnieciskas pamatdarbibas NP'!H66+'Saimnieciskas pamatdarbibas NP'!H72</f>
        <v>118650</v>
      </c>
      <c r="I330" s="731">
        <f>'Saimnieciskas pamatdarbibas NP'!I66+'Saimnieciskas pamatdarbibas NP'!I72</f>
        <v>120750</v>
      </c>
      <c r="J330" s="731">
        <f>'Saimnieciskas pamatdarbibas NP'!J66+'Saimnieciskas pamatdarbibas NP'!J72</f>
        <v>122850</v>
      </c>
      <c r="K330" s="731">
        <f>'Saimnieciskas pamatdarbibas NP'!K66+'Saimnieciskas pamatdarbibas NP'!K72</f>
        <v>124950</v>
      </c>
      <c r="L330" s="731">
        <f>'Saimnieciskas pamatdarbibas NP'!L66+'Saimnieciskas pamatdarbibas NP'!L72</f>
        <v>127050</v>
      </c>
      <c r="M330" s="731">
        <f>'Saimnieciskas pamatdarbibas NP'!M66+'Saimnieciskas pamatdarbibas NP'!M72</f>
        <v>129150</v>
      </c>
      <c r="N330" s="731">
        <f>'Saimnieciskas pamatdarbibas NP'!N66+'Saimnieciskas pamatdarbibas NP'!N72</f>
        <v>131250</v>
      </c>
      <c r="O330" s="731">
        <f>'Saimnieciskas pamatdarbibas NP'!O66+'Saimnieciskas pamatdarbibas NP'!O72</f>
        <v>134400</v>
      </c>
      <c r="P330" s="731">
        <f>'Saimnieciskas pamatdarbibas NP'!P66+'Saimnieciskas pamatdarbibas NP'!P72</f>
        <v>137550</v>
      </c>
      <c r="Q330" s="731">
        <f>'Saimnieciskas pamatdarbibas NP'!Q66+'Saimnieciskas pamatdarbibas NP'!Q72</f>
        <v>140700</v>
      </c>
      <c r="R330" s="731">
        <f>'Saimnieciskas pamatdarbibas NP'!R66+'Saimnieciskas pamatdarbibas NP'!R72</f>
        <v>143850</v>
      </c>
      <c r="S330" s="731">
        <f>'Saimnieciskas pamatdarbibas NP'!S66+'Saimnieciskas pamatdarbibas NP'!S72</f>
        <v>147000</v>
      </c>
      <c r="T330" s="731">
        <f>'Saimnieciskas pamatdarbibas NP'!T66+'Saimnieciskas pamatdarbibas NP'!T72</f>
        <v>150150</v>
      </c>
      <c r="U330" s="731">
        <f>'Saimnieciskas pamatdarbibas NP'!U66+'Saimnieciskas pamatdarbibas NP'!U72</f>
        <v>153300</v>
      </c>
      <c r="V330" s="731">
        <f>'Saimnieciskas pamatdarbibas NP'!V66+'Saimnieciskas pamatdarbibas NP'!V72</f>
        <v>156450</v>
      </c>
      <c r="W330" s="731">
        <f>'Saimnieciskas pamatdarbibas NP'!W66+'Saimnieciskas pamatdarbibas NP'!W72</f>
        <v>159600</v>
      </c>
      <c r="X330" s="731">
        <f>'Saimnieciskas pamatdarbibas NP'!X66+'Saimnieciskas pamatdarbibas NP'!X72</f>
        <v>162750</v>
      </c>
      <c r="Y330" s="731">
        <f>'Saimnieciskas pamatdarbibas NP'!Y66+'Saimnieciskas pamatdarbibas NP'!Y72</f>
        <v>165900</v>
      </c>
      <c r="Z330" s="731">
        <f>'Saimnieciskas pamatdarbibas NP'!Z66+'Saimnieciskas pamatdarbibas NP'!Z72</f>
        <v>169050</v>
      </c>
      <c r="AA330" s="731">
        <f>'Saimnieciskas pamatdarbibas NP'!AA66+'Saimnieciskas pamatdarbibas NP'!AA72</f>
        <v>172200</v>
      </c>
      <c r="AB330" s="731">
        <f>'Saimnieciskas pamatdarbibas NP'!AB66+'Saimnieciskas pamatdarbibas NP'!AB72</f>
        <v>175350</v>
      </c>
      <c r="AC330" s="731">
        <f>'Saimnieciskas pamatdarbibas NP'!AC66+'Saimnieciskas pamatdarbibas NP'!AC72</f>
        <v>178500</v>
      </c>
      <c r="AD330" s="731">
        <f>'Saimnieciskas pamatdarbibas NP'!AD66+'Saimnieciskas pamatdarbibas NP'!AD72</f>
        <v>181650</v>
      </c>
      <c r="AE330" s="731">
        <f>'Saimnieciskas pamatdarbibas NP'!AE66+'Saimnieciskas pamatdarbibas NP'!AE72</f>
        <v>184800</v>
      </c>
      <c r="AF330" s="731">
        <f>'Saimnieciskas pamatdarbibas NP'!AF66+'Saimnieciskas pamatdarbibas NP'!AF72</f>
        <v>189000</v>
      </c>
      <c r="AG330" s="731">
        <f>'Saimnieciskas pamatdarbibas NP'!AG66+'Saimnieciskas pamatdarbibas NP'!AG72</f>
        <v>193200</v>
      </c>
      <c r="AH330" s="731">
        <f>'Saimnieciskas pamatdarbibas NP'!AH66+'Saimnieciskas pamatdarbibas NP'!AH72</f>
        <v>197400</v>
      </c>
      <c r="AI330" s="731">
        <f>'Saimnieciskas pamatdarbibas NP'!AI66+'Saimnieciskas pamatdarbibas NP'!AI72</f>
        <v>201600</v>
      </c>
      <c r="AJ330" s="235"/>
      <c r="AK330" s="235"/>
      <c r="AL330" s="113"/>
      <c r="AM330" s="235"/>
      <c r="AN330" s="133"/>
      <c r="AO330" s="112"/>
      <c r="AP330" s="133"/>
      <c r="AQ330" s="112"/>
      <c r="AR330" s="133"/>
      <c r="AS330" s="235"/>
      <c r="AT330" s="235"/>
      <c r="AU330" s="235"/>
      <c r="AV330" s="235"/>
      <c r="AW330" s="235"/>
      <c r="AX330" s="235"/>
      <c r="AY330" s="235"/>
      <c r="AZ330" s="235"/>
      <c r="BA330" s="235"/>
      <c r="BB330" s="235"/>
      <c r="BC330" s="235"/>
      <c r="BD330" s="235"/>
      <c r="BE330" s="235"/>
      <c r="BF330" s="235"/>
      <c r="BG330" s="235"/>
      <c r="BH330" s="235"/>
      <c r="BI330" s="235"/>
      <c r="BJ330" s="235"/>
      <c r="BK330" s="235"/>
      <c r="BL330" s="235"/>
      <c r="BM330" s="235"/>
      <c r="BN330" s="235"/>
      <c r="BO330" s="235"/>
      <c r="BP330" s="235"/>
      <c r="BQ330" s="235"/>
      <c r="BR330" s="235"/>
      <c r="BS330" s="235"/>
      <c r="BT330" s="235"/>
      <c r="BU330" s="235"/>
      <c r="BV330" s="235"/>
      <c r="BW330" s="235"/>
      <c r="BX330" s="235"/>
      <c r="BY330" s="235"/>
      <c r="BZ330" s="235"/>
      <c r="CA330" s="235"/>
      <c r="CB330" s="235"/>
      <c r="CC330" s="235"/>
      <c r="CD330" s="235"/>
      <c r="CE330" s="235"/>
      <c r="CF330" s="235"/>
      <c r="CG330" s="235"/>
      <c r="CH330" s="235"/>
      <c r="CI330" s="235"/>
      <c r="CJ330" s="235"/>
      <c r="CK330" s="235"/>
      <c r="CL330" s="235"/>
      <c r="CM330" s="235"/>
      <c r="CN330" s="235"/>
      <c r="CO330" s="235"/>
      <c r="CP330" s="235"/>
      <c r="CQ330" s="235"/>
      <c r="CR330" s="235"/>
      <c r="CS330" s="235"/>
      <c r="CT330" s="235"/>
      <c r="CU330" s="235"/>
      <c r="CV330" s="235"/>
      <c r="CW330" s="235"/>
      <c r="CX330" s="235"/>
      <c r="CY330" s="235"/>
      <c r="CZ330" s="235"/>
      <c r="DA330" s="235"/>
      <c r="DB330" s="235"/>
      <c r="DC330" s="235"/>
      <c r="DD330" s="235"/>
      <c r="DE330" s="235"/>
      <c r="DF330" s="235"/>
      <c r="DG330" s="235"/>
      <c r="DH330" s="235"/>
      <c r="DI330" s="235"/>
      <c r="DJ330" s="235"/>
      <c r="DK330" s="235"/>
      <c r="DL330" s="235"/>
      <c r="DM330" s="235"/>
      <c r="DN330" s="235"/>
      <c r="DO330" s="235"/>
      <c r="DP330" s="235"/>
      <c r="DQ330" s="235"/>
      <c r="DR330" s="235"/>
      <c r="DS330" s="235"/>
      <c r="DT330" s="235"/>
      <c r="DU330" s="235"/>
      <c r="DV330" s="235"/>
      <c r="DW330" s="235"/>
      <c r="DX330" s="235"/>
      <c r="DY330" s="235"/>
      <c r="DZ330" s="235"/>
      <c r="EA330" s="235"/>
      <c r="EB330" s="235"/>
      <c r="EC330" s="235"/>
      <c r="ED330" s="235"/>
      <c r="EE330" s="235"/>
      <c r="EF330" s="235"/>
      <c r="EG330" s="235"/>
      <c r="EH330" s="235"/>
      <c r="EI330" s="235"/>
      <c r="EJ330" s="235"/>
      <c r="EK330" s="235"/>
      <c r="EL330" s="235"/>
      <c r="EM330" s="235"/>
      <c r="EN330" s="235"/>
      <c r="EO330" s="235"/>
      <c r="EP330" s="235"/>
      <c r="EQ330" s="235"/>
      <c r="ER330" s="235"/>
      <c r="ES330" s="235"/>
      <c r="ET330" s="235"/>
      <c r="EU330" s="235"/>
      <c r="EV330" s="235"/>
      <c r="EW330" s="235"/>
      <c r="EX330" s="235"/>
      <c r="EY330" s="235"/>
      <c r="EZ330" s="235"/>
      <c r="FA330" s="235"/>
      <c r="FB330" s="235"/>
      <c r="FC330" s="235"/>
      <c r="FD330" s="235"/>
      <c r="FE330" s="235"/>
      <c r="FF330" s="235"/>
      <c r="FG330" s="235"/>
      <c r="FH330" s="235"/>
      <c r="FI330" s="235"/>
      <c r="FJ330" s="235"/>
      <c r="FK330" s="235"/>
      <c r="FL330" s="235"/>
      <c r="FM330" s="235"/>
      <c r="FN330" s="235"/>
      <c r="FO330" s="235"/>
      <c r="FP330" s="235"/>
      <c r="FQ330" s="235"/>
      <c r="FR330" s="235"/>
      <c r="FS330" s="235"/>
      <c r="FT330" s="235"/>
      <c r="FU330" s="235"/>
      <c r="FV330" s="235"/>
      <c r="FW330" s="235"/>
      <c r="FX330" s="235"/>
      <c r="FY330" s="235"/>
      <c r="FZ330" s="235"/>
      <c r="GA330" s="235"/>
      <c r="GB330" s="235"/>
      <c r="GC330" s="235"/>
      <c r="GD330" s="235"/>
      <c r="GE330" s="235"/>
      <c r="GF330" s="235"/>
      <c r="GG330" s="235"/>
      <c r="GH330" s="235"/>
      <c r="GI330" s="235"/>
      <c r="GJ330" s="235"/>
      <c r="GK330" s="235"/>
      <c r="GL330" s="235"/>
      <c r="GM330" s="235"/>
      <c r="GN330" s="235"/>
      <c r="GO330" s="235"/>
      <c r="GP330" s="235"/>
      <c r="GQ330" s="235"/>
      <c r="GR330" s="235"/>
      <c r="GS330" s="235"/>
      <c r="GT330" s="235"/>
      <c r="GU330" s="235"/>
      <c r="GV330" s="235"/>
      <c r="GW330" s="235"/>
      <c r="GX330" s="235"/>
      <c r="GY330" s="235"/>
      <c r="GZ330" s="235"/>
      <c r="HA330" s="235"/>
      <c r="HB330" s="235"/>
      <c r="HC330" s="235"/>
      <c r="HD330" s="235"/>
      <c r="HE330" s="235"/>
      <c r="HF330" s="235"/>
      <c r="HG330" s="235"/>
      <c r="HH330" s="235"/>
      <c r="HI330" s="235"/>
      <c r="HJ330" s="235"/>
      <c r="HK330" s="235"/>
      <c r="HL330" s="235"/>
      <c r="HM330" s="235"/>
      <c r="HN330" s="235"/>
      <c r="HO330" s="235"/>
      <c r="HP330" s="235"/>
      <c r="HQ330" s="235"/>
      <c r="HR330" s="235"/>
      <c r="HS330" s="235"/>
      <c r="HT330" s="235"/>
      <c r="HU330" s="235"/>
      <c r="HV330" s="235"/>
      <c r="HW330" s="235"/>
      <c r="HX330" s="235"/>
      <c r="HY330" s="235"/>
      <c r="HZ330" s="235"/>
      <c r="IA330" s="235"/>
      <c r="IB330" s="235"/>
      <c r="IC330" s="235"/>
      <c r="ID330" s="235"/>
      <c r="IE330" s="235"/>
      <c r="IF330" s="235"/>
      <c r="IG330" s="235"/>
      <c r="IH330" s="235"/>
      <c r="II330" s="235"/>
      <c r="IJ330" s="235"/>
      <c r="IK330" s="235"/>
      <c r="IL330" s="235"/>
      <c r="IM330" s="235"/>
      <c r="IN330" s="235"/>
      <c r="IO330" s="235"/>
      <c r="IP330" s="235"/>
      <c r="IQ330" s="235"/>
      <c r="IR330" s="235"/>
    </row>
    <row r="331" spans="1:252" s="183" customFormat="1" x14ac:dyDescent="0.2">
      <c r="A331" s="213" t="s">
        <v>191</v>
      </c>
      <c r="B331" s="731">
        <f>'Saimnieciskas pamatdarbibas NP'!B73+'Saimnieciskas pamatdarbibas NP'!B67</f>
        <v>19918.21</v>
      </c>
      <c r="C331" s="731">
        <f>'Saimnieciskas pamatdarbibas NP'!C73+'Saimnieciskas pamatdarbibas NP'!C67</f>
        <v>20515.756300000001</v>
      </c>
      <c r="D331" s="731">
        <f>'Saimnieciskas pamatdarbibas NP'!D73+'Saimnieciskas pamatdarbibas NP'!D67</f>
        <v>22050</v>
      </c>
      <c r="E331" s="731">
        <f>'Saimnieciskas pamatdarbibas NP'!E73+'Saimnieciskas pamatdarbibas NP'!E67</f>
        <v>22470</v>
      </c>
      <c r="F331" s="730">
        <f>'Saimnieciskas pamatdarbibas NP'!F73+'Saimnieciskas pamatdarbibas NP'!F67</f>
        <v>22890</v>
      </c>
      <c r="G331" s="731">
        <f>'Saimnieciskas pamatdarbibas NP'!G73+'Saimnieciskas pamatdarbibas NP'!G67</f>
        <v>23310.000000000004</v>
      </c>
      <c r="H331" s="731">
        <f>'Saimnieciskas pamatdarbibas NP'!H73+'Saimnieciskas pamatdarbibas NP'!H67</f>
        <v>23729.999999999996</v>
      </c>
      <c r="I331" s="731">
        <f>'Saimnieciskas pamatdarbibas NP'!I73+'Saimnieciskas pamatdarbibas NP'!I67</f>
        <v>24150</v>
      </c>
      <c r="J331" s="731">
        <f>'Saimnieciskas pamatdarbibas NP'!J73+'Saimnieciskas pamatdarbibas NP'!J67</f>
        <v>24570</v>
      </c>
      <c r="K331" s="731">
        <f>'Saimnieciskas pamatdarbibas NP'!K73+'Saimnieciskas pamatdarbibas NP'!K67</f>
        <v>24990</v>
      </c>
      <c r="L331" s="731">
        <f>'Saimnieciskas pamatdarbibas NP'!L73+'Saimnieciskas pamatdarbibas NP'!L67</f>
        <v>25410</v>
      </c>
      <c r="M331" s="731">
        <f>'Saimnieciskas pamatdarbibas NP'!M73+'Saimnieciskas pamatdarbibas NP'!M67</f>
        <v>25830</v>
      </c>
      <c r="N331" s="731">
        <f>'Saimnieciskas pamatdarbibas NP'!N73+'Saimnieciskas pamatdarbibas NP'!N67</f>
        <v>26250</v>
      </c>
      <c r="O331" s="731">
        <f>'Saimnieciskas pamatdarbibas NP'!O73+'Saimnieciskas pamatdarbibas NP'!O67</f>
        <v>26880</v>
      </c>
      <c r="P331" s="731">
        <f>'Saimnieciskas pamatdarbibas NP'!P73+'Saimnieciskas pamatdarbibas NP'!P67</f>
        <v>27510</v>
      </c>
      <c r="Q331" s="731">
        <f>'Saimnieciskas pamatdarbibas NP'!Q73+'Saimnieciskas pamatdarbibas NP'!Q67</f>
        <v>28140</v>
      </c>
      <c r="R331" s="731">
        <f>'Saimnieciskas pamatdarbibas NP'!R73+'Saimnieciskas pamatdarbibas NP'!R67</f>
        <v>28770.000000000004</v>
      </c>
      <c r="S331" s="731">
        <f>'Saimnieciskas pamatdarbibas NP'!S73+'Saimnieciskas pamatdarbibas NP'!S67</f>
        <v>29400</v>
      </c>
      <c r="T331" s="731">
        <f>'Saimnieciskas pamatdarbibas NP'!T73+'Saimnieciskas pamatdarbibas NP'!T67</f>
        <v>30030</v>
      </c>
      <c r="U331" s="731">
        <f>'Saimnieciskas pamatdarbibas NP'!U73+'Saimnieciskas pamatdarbibas NP'!U67</f>
        <v>30660</v>
      </c>
      <c r="V331" s="731">
        <f>'Saimnieciskas pamatdarbibas NP'!V73+'Saimnieciskas pamatdarbibas NP'!V67</f>
        <v>31290</v>
      </c>
      <c r="W331" s="731">
        <f>'Saimnieciskas pamatdarbibas NP'!W73+'Saimnieciskas pamatdarbibas NP'!W67</f>
        <v>31920</v>
      </c>
      <c r="X331" s="731">
        <f>'Saimnieciskas pamatdarbibas NP'!X73+'Saimnieciskas pamatdarbibas NP'!X67</f>
        <v>32550</v>
      </c>
      <c r="Y331" s="731">
        <f>'Saimnieciskas pamatdarbibas NP'!Y73+'Saimnieciskas pamatdarbibas NP'!Y67</f>
        <v>33180</v>
      </c>
      <c r="Z331" s="731">
        <f>'Saimnieciskas pamatdarbibas NP'!Z73+'Saimnieciskas pamatdarbibas NP'!Z67</f>
        <v>33810</v>
      </c>
      <c r="AA331" s="731">
        <f>'Saimnieciskas pamatdarbibas NP'!AA73+'Saimnieciskas pamatdarbibas NP'!AA67</f>
        <v>34440</v>
      </c>
      <c r="AB331" s="731">
        <f>'Saimnieciskas pamatdarbibas NP'!AB73+'Saimnieciskas pamatdarbibas NP'!AB67</f>
        <v>35070</v>
      </c>
      <c r="AC331" s="731">
        <f>'Saimnieciskas pamatdarbibas NP'!AC73+'Saimnieciskas pamatdarbibas NP'!AC67</f>
        <v>35700</v>
      </c>
      <c r="AD331" s="731">
        <f>'Saimnieciskas pamatdarbibas NP'!AD73+'Saimnieciskas pamatdarbibas NP'!AD67</f>
        <v>36330</v>
      </c>
      <c r="AE331" s="731">
        <f>'Saimnieciskas pamatdarbibas NP'!AE73+'Saimnieciskas pamatdarbibas NP'!AE67</f>
        <v>36960</v>
      </c>
      <c r="AF331" s="731">
        <f>'Saimnieciskas pamatdarbibas NP'!AF73+'Saimnieciskas pamatdarbibas NP'!AF67</f>
        <v>37800</v>
      </c>
      <c r="AG331" s="731">
        <f>'Saimnieciskas pamatdarbibas NP'!AG73+'Saimnieciskas pamatdarbibas NP'!AG67</f>
        <v>38640</v>
      </c>
      <c r="AH331" s="731">
        <f>'Saimnieciskas pamatdarbibas NP'!AH73+'Saimnieciskas pamatdarbibas NP'!AH67</f>
        <v>39480</v>
      </c>
      <c r="AI331" s="731">
        <f>'Saimnieciskas pamatdarbibas NP'!AI73+'Saimnieciskas pamatdarbibas NP'!AI67</f>
        <v>40320</v>
      </c>
      <c r="AJ331" s="235"/>
      <c r="AK331" s="235"/>
      <c r="AL331" s="113"/>
      <c r="AM331" s="235"/>
      <c r="AN331" s="133"/>
      <c r="AO331" s="112"/>
      <c r="AP331" s="133"/>
      <c r="AQ331" s="112"/>
      <c r="AR331" s="133"/>
      <c r="AS331" s="235"/>
      <c r="AT331" s="235"/>
      <c r="AU331" s="235"/>
      <c r="AV331" s="235"/>
      <c r="AW331" s="235"/>
      <c r="AX331" s="235"/>
      <c r="AY331" s="235"/>
      <c r="AZ331" s="235"/>
      <c r="BA331" s="235"/>
      <c r="BB331" s="235"/>
      <c r="BC331" s="235"/>
      <c r="BD331" s="235"/>
      <c r="BE331" s="235"/>
      <c r="BF331" s="235"/>
      <c r="BG331" s="235"/>
      <c r="BH331" s="235"/>
      <c r="BI331" s="235"/>
      <c r="BJ331" s="235"/>
      <c r="BK331" s="235"/>
      <c r="BL331" s="235"/>
      <c r="BM331" s="235"/>
      <c r="BN331" s="235"/>
      <c r="BO331" s="235"/>
      <c r="BP331" s="235"/>
      <c r="BQ331" s="235"/>
      <c r="BR331" s="235"/>
      <c r="BS331" s="235"/>
      <c r="BT331" s="235"/>
      <c r="BU331" s="235"/>
      <c r="BV331" s="235"/>
      <c r="BW331" s="235"/>
      <c r="BX331" s="235"/>
      <c r="BY331" s="235"/>
      <c r="BZ331" s="235"/>
      <c r="CA331" s="235"/>
      <c r="CB331" s="235"/>
      <c r="CC331" s="235"/>
      <c r="CD331" s="235"/>
      <c r="CE331" s="235"/>
      <c r="CF331" s="235"/>
      <c r="CG331" s="235"/>
      <c r="CH331" s="235"/>
      <c r="CI331" s="235"/>
      <c r="CJ331" s="235"/>
      <c r="CK331" s="235"/>
      <c r="CL331" s="235"/>
      <c r="CM331" s="235"/>
      <c r="CN331" s="235"/>
      <c r="CO331" s="235"/>
      <c r="CP331" s="235"/>
      <c r="CQ331" s="235"/>
      <c r="CR331" s="235"/>
      <c r="CS331" s="235"/>
      <c r="CT331" s="235"/>
      <c r="CU331" s="235"/>
      <c r="CV331" s="235"/>
      <c r="CW331" s="235"/>
      <c r="CX331" s="235"/>
      <c r="CY331" s="235"/>
      <c r="CZ331" s="235"/>
      <c r="DA331" s="235"/>
      <c r="DB331" s="235"/>
      <c r="DC331" s="235"/>
      <c r="DD331" s="235"/>
      <c r="DE331" s="235"/>
      <c r="DF331" s="235"/>
      <c r="DG331" s="235"/>
      <c r="DH331" s="235"/>
      <c r="DI331" s="235"/>
      <c r="DJ331" s="235"/>
      <c r="DK331" s="235"/>
      <c r="DL331" s="235"/>
      <c r="DM331" s="235"/>
      <c r="DN331" s="235"/>
      <c r="DO331" s="235"/>
      <c r="DP331" s="235"/>
      <c r="DQ331" s="235"/>
      <c r="DR331" s="235"/>
      <c r="DS331" s="235"/>
      <c r="DT331" s="235"/>
      <c r="DU331" s="235"/>
      <c r="DV331" s="235"/>
      <c r="DW331" s="235"/>
      <c r="DX331" s="235"/>
      <c r="DY331" s="235"/>
      <c r="DZ331" s="235"/>
      <c r="EA331" s="235"/>
      <c r="EB331" s="235"/>
      <c r="EC331" s="235"/>
      <c r="ED331" s="235"/>
      <c r="EE331" s="235"/>
      <c r="EF331" s="235"/>
      <c r="EG331" s="235"/>
      <c r="EH331" s="235"/>
      <c r="EI331" s="235"/>
      <c r="EJ331" s="235"/>
      <c r="EK331" s="235"/>
      <c r="EL331" s="235"/>
      <c r="EM331" s="235"/>
      <c r="EN331" s="235"/>
      <c r="EO331" s="235"/>
      <c r="EP331" s="235"/>
      <c r="EQ331" s="235"/>
      <c r="ER331" s="235"/>
      <c r="ES331" s="235"/>
      <c r="ET331" s="235"/>
      <c r="EU331" s="235"/>
      <c r="EV331" s="235"/>
      <c r="EW331" s="235"/>
      <c r="EX331" s="235"/>
      <c r="EY331" s="235"/>
      <c r="EZ331" s="235"/>
      <c r="FA331" s="235"/>
      <c r="FB331" s="235"/>
      <c r="FC331" s="235"/>
      <c r="FD331" s="235"/>
      <c r="FE331" s="235"/>
      <c r="FF331" s="235"/>
      <c r="FG331" s="235"/>
      <c r="FH331" s="235"/>
      <c r="FI331" s="235"/>
      <c r="FJ331" s="235"/>
      <c r="FK331" s="235"/>
      <c r="FL331" s="235"/>
      <c r="FM331" s="235"/>
      <c r="FN331" s="235"/>
      <c r="FO331" s="235"/>
      <c r="FP331" s="235"/>
      <c r="FQ331" s="235"/>
      <c r="FR331" s="235"/>
      <c r="FS331" s="235"/>
      <c r="FT331" s="235"/>
      <c r="FU331" s="235"/>
      <c r="FV331" s="235"/>
      <c r="FW331" s="235"/>
      <c r="FX331" s="235"/>
      <c r="FY331" s="235"/>
      <c r="FZ331" s="235"/>
      <c r="GA331" s="235"/>
      <c r="GB331" s="235"/>
      <c r="GC331" s="235"/>
      <c r="GD331" s="235"/>
      <c r="GE331" s="235"/>
      <c r="GF331" s="235"/>
      <c r="GG331" s="235"/>
      <c r="GH331" s="235"/>
      <c r="GI331" s="235"/>
      <c r="GJ331" s="235"/>
      <c r="GK331" s="235"/>
      <c r="GL331" s="235"/>
      <c r="GM331" s="235"/>
      <c r="GN331" s="235"/>
      <c r="GO331" s="235"/>
      <c r="GP331" s="235"/>
      <c r="GQ331" s="235"/>
      <c r="GR331" s="235"/>
      <c r="GS331" s="235"/>
      <c r="GT331" s="235"/>
      <c r="GU331" s="235"/>
      <c r="GV331" s="235"/>
      <c r="GW331" s="235"/>
      <c r="GX331" s="235"/>
      <c r="GY331" s="235"/>
      <c r="GZ331" s="235"/>
      <c r="HA331" s="235"/>
      <c r="HB331" s="235"/>
      <c r="HC331" s="235"/>
      <c r="HD331" s="235"/>
      <c r="HE331" s="235"/>
      <c r="HF331" s="235"/>
      <c r="HG331" s="235"/>
      <c r="HH331" s="235"/>
      <c r="HI331" s="235"/>
      <c r="HJ331" s="235"/>
      <c r="HK331" s="235"/>
      <c r="HL331" s="235"/>
      <c r="HM331" s="235"/>
      <c r="HN331" s="235"/>
      <c r="HO331" s="235"/>
      <c r="HP331" s="235"/>
      <c r="HQ331" s="235"/>
      <c r="HR331" s="235"/>
      <c r="HS331" s="235"/>
      <c r="HT331" s="235"/>
      <c r="HU331" s="235"/>
      <c r="HV331" s="235"/>
      <c r="HW331" s="235"/>
      <c r="HX331" s="235"/>
      <c r="HY331" s="235"/>
      <c r="HZ331" s="235"/>
      <c r="IA331" s="235"/>
      <c r="IB331" s="235"/>
      <c r="IC331" s="235"/>
      <c r="ID331" s="235"/>
      <c r="IE331" s="235"/>
      <c r="IF331" s="235"/>
      <c r="IG331" s="235"/>
      <c r="IH331" s="235"/>
      <c r="II331" s="235"/>
      <c r="IJ331" s="235"/>
      <c r="IK331" s="235"/>
      <c r="IL331" s="235"/>
      <c r="IM331" s="235"/>
      <c r="IN331" s="235"/>
      <c r="IO331" s="235"/>
      <c r="IP331" s="235"/>
      <c r="IQ331" s="235"/>
      <c r="IR331" s="235"/>
    </row>
    <row r="332" spans="1:252" s="183" customFormat="1" x14ac:dyDescent="0.2">
      <c r="A332" s="213" t="s">
        <v>192</v>
      </c>
      <c r="B332" s="731">
        <f>'Saimnieciskas pamatdarbibas NP'!B74+'Saimnieciskas pamatdarbibas NP'!B68</f>
        <v>118513.4</v>
      </c>
      <c r="C332" s="731">
        <f>'Saimnieciskas pamatdarbibas NP'!C74+'Saimnieciskas pamatdarbibas NP'!C68</f>
        <v>122068.80200000001</v>
      </c>
      <c r="D332" s="731">
        <f>'Saimnieciskas pamatdarbibas NP'!D74+'Saimnieciskas pamatdarbibas NP'!D68</f>
        <v>124950</v>
      </c>
      <c r="E332" s="731">
        <f>'Saimnieciskas pamatdarbibas NP'!E74+'Saimnieciskas pamatdarbibas NP'!E68</f>
        <v>127330</v>
      </c>
      <c r="F332" s="730">
        <f>'Saimnieciskas pamatdarbibas NP'!F74+'Saimnieciskas pamatdarbibas NP'!F68</f>
        <v>129710</v>
      </c>
      <c r="G332" s="731">
        <f>'Saimnieciskas pamatdarbibas NP'!G74+'Saimnieciskas pamatdarbibas NP'!G68</f>
        <v>132090.00000000003</v>
      </c>
      <c r="H332" s="731">
        <f>'Saimnieciskas pamatdarbibas NP'!H74+'Saimnieciskas pamatdarbibas NP'!H68</f>
        <v>134469.99999999997</v>
      </c>
      <c r="I332" s="731">
        <f>'Saimnieciskas pamatdarbibas NP'!I74+'Saimnieciskas pamatdarbibas NP'!I68</f>
        <v>136850</v>
      </c>
      <c r="J332" s="731">
        <f>'Saimnieciskas pamatdarbibas NP'!J74+'Saimnieciskas pamatdarbibas NP'!J68</f>
        <v>139230</v>
      </c>
      <c r="K332" s="731">
        <f>'Saimnieciskas pamatdarbibas NP'!K74+'Saimnieciskas pamatdarbibas NP'!K68</f>
        <v>141610</v>
      </c>
      <c r="L332" s="731">
        <f>'Saimnieciskas pamatdarbibas NP'!L74+'Saimnieciskas pamatdarbibas NP'!L68</f>
        <v>143990</v>
      </c>
      <c r="M332" s="731">
        <f>'Saimnieciskas pamatdarbibas NP'!M74+'Saimnieciskas pamatdarbibas NP'!M68</f>
        <v>146370</v>
      </c>
      <c r="N332" s="731">
        <f>'Saimnieciskas pamatdarbibas NP'!N74+'Saimnieciskas pamatdarbibas NP'!N68</f>
        <v>148750</v>
      </c>
      <c r="O332" s="731">
        <f>'Saimnieciskas pamatdarbibas NP'!O74+'Saimnieciskas pamatdarbibas NP'!O68</f>
        <v>152320</v>
      </c>
      <c r="P332" s="731">
        <f>'Saimnieciskas pamatdarbibas NP'!P74+'Saimnieciskas pamatdarbibas NP'!P68</f>
        <v>155890</v>
      </c>
      <c r="Q332" s="731">
        <f>'Saimnieciskas pamatdarbibas NP'!Q74+'Saimnieciskas pamatdarbibas NP'!Q68</f>
        <v>159460</v>
      </c>
      <c r="R332" s="731">
        <f>'Saimnieciskas pamatdarbibas NP'!R74+'Saimnieciskas pamatdarbibas NP'!R68</f>
        <v>163030.00000000003</v>
      </c>
      <c r="S332" s="731">
        <f>'Saimnieciskas pamatdarbibas NP'!S74+'Saimnieciskas pamatdarbibas NP'!S68</f>
        <v>166600</v>
      </c>
      <c r="T332" s="731">
        <f>'Saimnieciskas pamatdarbibas NP'!T74+'Saimnieciskas pamatdarbibas NP'!T68</f>
        <v>170170</v>
      </c>
      <c r="U332" s="731">
        <f>'Saimnieciskas pamatdarbibas NP'!U74+'Saimnieciskas pamatdarbibas NP'!U68</f>
        <v>173740</v>
      </c>
      <c r="V332" s="731">
        <f>'Saimnieciskas pamatdarbibas NP'!V74+'Saimnieciskas pamatdarbibas NP'!V68</f>
        <v>177310</v>
      </c>
      <c r="W332" s="731">
        <f>'Saimnieciskas pamatdarbibas NP'!W74+'Saimnieciskas pamatdarbibas NP'!W68</f>
        <v>180880</v>
      </c>
      <c r="X332" s="731">
        <f>'Saimnieciskas pamatdarbibas NP'!X74+'Saimnieciskas pamatdarbibas NP'!X68</f>
        <v>184450</v>
      </c>
      <c r="Y332" s="731">
        <f>'Saimnieciskas pamatdarbibas NP'!Y74+'Saimnieciskas pamatdarbibas NP'!Y68</f>
        <v>188020</v>
      </c>
      <c r="Z332" s="731">
        <f>'Saimnieciskas pamatdarbibas NP'!Z74+'Saimnieciskas pamatdarbibas NP'!Z68</f>
        <v>191590</v>
      </c>
      <c r="AA332" s="731">
        <f>'Saimnieciskas pamatdarbibas NP'!AA74+'Saimnieciskas pamatdarbibas NP'!AA68</f>
        <v>195160</v>
      </c>
      <c r="AB332" s="731">
        <f>'Saimnieciskas pamatdarbibas NP'!AB74+'Saimnieciskas pamatdarbibas NP'!AB68</f>
        <v>198730</v>
      </c>
      <c r="AC332" s="731">
        <f>'Saimnieciskas pamatdarbibas NP'!AC74+'Saimnieciskas pamatdarbibas NP'!AC68</f>
        <v>202300</v>
      </c>
      <c r="AD332" s="731">
        <f>'Saimnieciskas pamatdarbibas NP'!AD74+'Saimnieciskas pamatdarbibas NP'!AD68</f>
        <v>205870</v>
      </c>
      <c r="AE332" s="731">
        <f>'Saimnieciskas pamatdarbibas NP'!AE74+'Saimnieciskas pamatdarbibas NP'!AE68</f>
        <v>209440</v>
      </c>
      <c r="AF332" s="731">
        <f>'Saimnieciskas pamatdarbibas NP'!AF74+'Saimnieciskas pamatdarbibas NP'!AF68</f>
        <v>214200</v>
      </c>
      <c r="AG332" s="731">
        <f>'Saimnieciskas pamatdarbibas NP'!AG74+'Saimnieciskas pamatdarbibas NP'!AG68</f>
        <v>218960</v>
      </c>
      <c r="AH332" s="731">
        <f>'Saimnieciskas pamatdarbibas NP'!AH74+'Saimnieciskas pamatdarbibas NP'!AH68</f>
        <v>223720</v>
      </c>
      <c r="AI332" s="731">
        <f>'Saimnieciskas pamatdarbibas NP'!AI74+'Saimnieciskas pamatdarbibas NP'!AI68</f>
        <v>228480</v>
      </c>
      <c r="AJ332" s="235"/>
      <c r="AK332" s="235"/>
      <c r="AL332" s="113"/>
      <c r="AM332" s="235"/>
      <c r="AN332" s="133"/>
      <c r="AO332" s="112"/>
      <c r="AP332" s="133"/>
      <c r="AQ332" s="112"/>
      <c r="AR332" s="133"/>
      <c r="AS332" s="235"/>
      <c r="AT332" s="235"/>
      <c r="AU332" s="235"/>
      <c r="AV332" s="235"/>
      <c r="AW332" s="235"/>
      <c r="AX332" s="235"/>
      <c r="AY332" s="235"/>
      <c r="AZ332" s="235"/>
      <c r="BA332" s="235"/>
      <c r="BB332" s="235"/>
      <c r="BC332" s="235"/>
      <c r="BD332" s="235"/>
      <c r="BE332" s="235"/>
      <c r="BF332" s="235"/>
      <c r="BG332" s="235"/>
      <c r="BH332" s="235"/>
      <c r="BI332" s="235"/>
      <c r="BJ332" s="235"/>
      <c r="BK332" s="235"/>
      <c r="BL332" s="235"/>
      <c r="BM332" s="235"/>
      <c r="BN332" s="235"/>
      <c r="BO332" s="235"/>
      <c r="BP332" s="235"/>
      <c r="BQ332" s="235"/>
      <c r="BR332" s="235"/>
      <c r="BS332" s="235"/>
      <c r="BT332" s="235"/>
      <c r="BU332" s="235"/>
      <c r="BV332" s="235"/>
      <c r="BW332" s="235"/>
      <c r="BX332" s="235"/>
      <c r="BY332" s="235"/>
      <c r="BZ332" s="235"/>
      <c r="CA332" s="235"/>
      <c r="CB332" s="235"/>
      <c r="CC332" s="235"/>
      <c r="CD332" s="235"/>
      <c r="CE332" s="235"/>
      <c r="CF332" s="235"/>
      <c r="CG332" s="235"/>
      <c r="CH332" s="235"/>
      <c r="CI332" s="235"/>
      <c r="CJ332" s="235"/>
      <c r="CK332" s="235"/>
      <c r="CL332" s="235"/>
      <c r="CM332" s="235"/>
      <c r="CN332" s="235"/>
      <c r="CO332" s="235"/>
      <c r="CP332" s="235"/>
      <c r="CQ332" s="235"/>
      <c r="CR332" s="235"/>
      <c r="CS332" s="235"/>
      <c r="CT332" s="235"/>
      <c r="CU332" s="235"/>
      <c r="CV332" s="235"/>
      <c r="CW332" s="235"/>
      <c r="CX332" s="235"/>
      <c r="CY332" s="235"/>
      <c r="CZ332" s="235"/>
      <c r="DA332" s="235"/>
      <c r="DB332" s="235"/>
      <c r="DC332" s="235"/>
      <c r="DD332" s="235"/>
      <c r="DE332" s="235"/>
      <c r="DF332" s="235"/>
      <c r="DG332" s="235"/>
      <c r="DH332" s="235"/>
      <c r="DI332" s="235"/>
      <c r="DJ332" s="235"/>
      <c r="DK332" s="235"/>
      <c r="DL332" s="235"/>
      <c r="DM332" s="235"/>
      <c r="DN332" s="235"/>
      <c r="DO332" s="235"/>
      <c r="DP332" s="235"/>
      <c r="DQ332" s="235"/>
      <c r="DR332" s="235"/>
      <c r="DS332" s="235"/>
      <c r="DT332" s="235"/>
      <c r="DU332" s="235"/>
      <c r="DV332" s="235"/>
      <c r="DW332" s="235"/>
      <c r="DX332" s="235"/>
      <c r="DY332" s="235"/>
      <c r="DZ332" s="235"/>
      <c r="EA332" s="235"/>
      <c r="EB332" s="235"/>
      <c r="EC332" s="235"/>
      <c r="ED332" s="235"/>
      <c r="EE332" s="235"/>
      <c r="EF332" s="235"/>
      <c r="EG332" s="235"/>
      <c r="EH332" s="235"/>
      <c r="EI332" s="235"/>
      <c r="EJ332" s="235"/>
      <c r="EK332" s="235"/>
      <c r="EL332" s="235"/>
      <c r="EM332" s="235"/>
      <c r="EN332" s="235"/>
      <c r="EO332" s="235"/>
      <c r="EP332" s="235"/>
      <c r="EQ332" s="235"/>
      <c r="ER332" s="235"/>
      <c r="ES332" s="235"/>
      <c r="ET332" s="235"/>
      <c r="EU332" s="235"/>
      <c r="EV332" s="235"/>
      <c r="EW332" s="235"/>
      <c r="EX332" s="235"/>
      <c r="EY332" s="235"/>
      <c r="EZ332" s="235"/>
      <c r="FA332" s="235"/>
      <c r="FB332" s="235"/>
      <c r="FC332" s="235"/>
      <c r="FD332" s="235"/>
      <c r="FE332" s="235"/>
      <c r="FF332" s="235"/>
      <c r="FG332" s="235"/>
      <c r="FH332" s="235"/>
      <c r="FI332" s="235"/>
      <c r="FJ332" s="235"/>
      <c r="FK332" s="235"/>
      <c r="FL332" s="235"/>
      <c r="FM332" s="235"/>
      <c r="FN332" s="235"/>
      <c r="FO332" s="235"/>
      <c r="FP332" s="235"/>
      <c r="FQ332" s="235"/>
      <c r="FR332" s="235"/>
      <c r="FS332" s="235"/>
      <c r="FT332" s="235"/>
      <c r="FU332" s="235"/>
      <c r="FV332" s="235"/>
      <c r="FW332" s="235"/>
      <c r="FX332" s="235"/>
      <c r="FY332" s="235"/>
      <c r="FZ332" s="235"/>
      <c r="GA332" s="235"/>
      <c r="GB332" s="235"/>
      <c r="GC332" s="235"/>
      <c r="GD332" s="235"/>
      <c r="GE332" s="235"/>
      <c r="GF332" s="235"/>
      <c r="GG332" s="235"/>
      <c r="GH332" s="235"/>
      <c r="GI332" s="235"/>
      <c r="GJ332" s="235"/>
      <c r="GK332" s="235"/>
      <c r="GL332" s="235"/>
      <c r="GM332" s="235"/>
      <c r="GN332" s="235"/>
      <c r="GO332" s="235"/>
      <c r="GP332" s="235"/>
      <c r="GQ332" s="235"/>
      <c r="GR332" s="235"/>
      <c r="GS332" s="235"/>
      <c r="GT332" s="235"/>
      <c r="GU332" s="235"/>
      <c r="GV332" s="235"/>
      <c r="GW332" s="235"/>
      <c r="GX332" s="235"/>
      <c r="GY332" s="235"/>
      <c r="GZ332" s="235"/>
      <c r="HA332" s="235"/>
      <c r="HB332" s="235"/>
      <c r="HC332" s="235"/>
      <c r="HD332" s="235"/>
      <c r="HE332" s="235"/>
      <c r="HF332" s="235"/>
      <c r="HG332" s="235"/>
      <c r="HH332" s="235"/>
      <c r="HI332" s="235"/>
      <c r="HJ332" s="235"/>
      <c r="HK332" s="235"/>
      <c r="HL332" s="235"/>
      <c r="HM332" s="235"/>
      <c r="HN332" s="235"/>
      <c r="HO332" s="235"/>
      <c r="HP332" s="235"/>
      <c r="HQ332" s="235"/>
      <c r="HR332" s="235"/>
      <c r="HS332" s="235"/>
      <c r="HT332" s="235"/>
      <c r="HU332" s="235"/>
      <c r="HV332" s="235"/>
      <c r="HW332" s="235"/>
      <c r="HX332" s="235"/>
      <c r="HY332" s="235"/>
      <c r="HZ332" s="235"/>
      <c r="IA332" s="235"/>
      <c r="IB332" s="235"/>
      <c r="IC332" s="235"/>
      <c r="ID332" s="235"/>
      <c r="IE332" s="235"/>
      <c r="IF332" s="235"/>
      <c r="IG332" s="235"/>
      <c r="IH332" s="235"/>
      <c r="II332" s="235"/>
      <c r="IJ332" s="235"/>
      <c r="IK332" s="235"/>
      <c r="IL332" s="235"/>
      <c r="IM332" s="235"/>
      <c r="IN332" s="235"/>
      <c r="IO332" s="235"/>
      <c r="IP332" s="235"/>
      <c r="IQ332" s="235"/>
      <c r="IR332" s="235"/>
    </row>
    <row r="333" spans="1:252" s="183" customFormat="1" ht="25.5" x14ac:dyDescent="0.2">
      <c r="A333" s="213" t="s">
        <v>317</v>
      </c>
      <c r="B333" s="731">
        <f>'Saimnieciskas pamatdarbibas NP'!B69+'Saimnieciskas pamatdarbibas NP'!B75</f>
        <v>9469.76</v>
      </c>
      <c r="C333" s="731">
        <f>'Saimnieciskas pamatdarbibas NP'!C69+'Saimnieciskas pamatdarbibas NP'!C75</f>
        <v>9753.8528000000006</v>
      </c>
      <c r="D333" s="731">
        <f>'Saimnieciskas pamatdarbibas NP'!D69+'Saimnieciskas pamatdarbibas NP'!D75</f>
        <v>11550</v>
      </c>
      <c r="E333" s="731">
        <f>'Saimnieciskas pamatdarbibas NP'!E69+'Saimnieciskas pamatdarbibas NP'!E75</f>
        <v>11770</v>
      </c>
      <c r="F333" s="730">
        <f>'Saimnieciskas pamatdarbibas NP'!F69+'Saimnieciskas pamatdarbibas NP'!F75</f>
        <v>11990</v>
      </c>
      <c r="G333" s="731">
        <f>'Saimnieciskas pamatdarbibas NP'!G69+'Saimnieciskas pamatdarbibas NP'!G75</f>
        <v>12210</v>
      </c>
      <c r="H333" s="731">
        <f>'Saimnieciskas pamatdarbibas NP'!H69+'Saimnieciskas pamatdarbibas NP'!H75</f>
        <v>12430</v>
      </c>
      <c r="I333" s="731">
        <f>'Saimnieciskas pamatdarbibas NP'!I69+'Saimnieciskas pamatdarbibas NP'!I75</f>
        <v>12650</v>
      </c>
      <c r="J333" s="731">
        <f>'Saimnieciskas pamatdarbibas NP'!J69+'Saimnieciskas pamatdarbibas NP'!J75</f>
        <v>12870</v>
      </c>
      <c r="K333" s="731">
        <f>'Saimnieciskas pamatdarbibas NP'!K69+'Saimnieciskas pamatdarbibas NP'!K75</f>
        <v>13090</v>
      </c>
      <c r="L333" s="731">
        <f>'Saimnieciskas pamatdarbibas NP'!L69+'Saimnieciskas pamatdarbibas NP'!L75</f>
        <v>13310</v>
      </c>
      <c r="M333" s="731">
        <f>'Saimnieciskas pamatdarbibas NP'!M69+'Saimnieciskas pamatdarbibas NP'!M75</f>
        <v>13530</v>
      </c>
      <c r="N333" s="731">
        <f>'Saimnieciskas pamatdarbibas NP'!N69+'Saimnieciskas pamatdarbibas NP'!N75</f>
        <v>13750</v>
      </c>
      <c r="O333" s="731">
        <f>'Saimnieciskas pamatdarbibas NP'!O69+'Saimnieciskas pamatdarbibas NP'!O75</f>
        <v>14080</v>
      </c>
      <c r="P333" s="731">
        <f>'Saimnieciskas pamatdarbibas NP'!P69+'Saimnieciskas pamatdarbibas NP'!P75</f>
        <v>14410</v>
      </c>
      <c r="Q333" s="731">
        <f>'Saimnieciskas pamatdarbibas NP'!Q69+'Saimnieciskas pamatdarbibas NP'!Q75</f>
        <v>14740</v>
      </c>
      <c r="R333" s="731">
        <f>'Saimnieciskas pamatdarbibas NP'!R69+'Saimnieciskas pamatdarbibas NP'!R75</f>
        <v>15070</v>
      </c>
      <c r="S333" s="731">
        <f>'Saimnieciskas pamatdarbibas NP'!S69+'Saimnieciskas pamatdarbibas NP'!S75</f>
        <v>15400</v>
      </c>
      <c r="T333" s="731">
        <f>'Saimnieciskas pamatdarbibas NP'!T69+'Saimnieciskas pamatdarbibas NP'!T75</f>
        <v>15730</v>
      </c>
      <c r="U333" s="731">
        <f>'Saimnieciskas pamatdarbibas NP'!U69+'Saimnieciskas pamatdarbibas NP'!U75</f>
        <v>16060</v>
      </c>
      <c r="V333" s="731">
        <f>'Saimnieciskas pamatdarbibas NP'!V69+'Saimnieciskas pamatdarbibas NP'!V75</f>
        <v>16390</v>
      </c>
      <c r="W333" s="731">
        <f>'Saimnieciskas pamatdarbibas NP'!W69+'Saimnieciskas pamatdarbibas NP'!W75</f>
        <v>16720</v>
      </c>
      <c r="X333" s="731">
        <f>'Saimnieciskas pamatdarbibas NP'!X69+'Saimnieciskas pamatdarbibas NP'!X75</f>
        <v>17050</v>
      </c>
      <c r="Y333" s="731">
        <f>'Saimnieciskas pamatdarbibas NP'!Y69+'Saimnieciskas pamatdarbibas NP'!Y75</f>
        <v>17380</v>
      </c>
      <c r="Z333" s="731">
        <f>'Saimnieciskas pamatdarbibas NP'!Z69+'Saimnieciskas pamatdarbibas NP'!Z75</f>
        <v>17710</v>
      </c>
      <c r="AA333" s="731">
        <f>'Saimnieciskas pamatdarbibas NP'!AA69+'Saimnieciskas pamatdarbibas NP'!AA75</f>
        <v>18040</v>
      </c>
      <c r="AB333" s="731">
        <f>'Saimnieciskas pamatdarbibas NP'!AB69+'Saimnieciskas pamatdarbibas NP'!AB75</f>
        <v>18370</v>
      </c>
      <c r="AC333" s="731">
        <f>'Saimnieciskas pamatdarbibas NP'!AC69+'Saimnieciskas pamatdarbibas NP'!AC75</f>
        <v>18700</v>
      </c>
      <c r="AD333" s="731">
        <f>'Saimnieciskas pamatdarbibas NP'!AD69+'Saimnieciskas pamatdarbibas NP'!AD75</f>
        <v>19030</v>
      </c>
      <c r="AE333" s="731">
        <f>'Saimnieciskas pamatdarbibas NP'!AE69+'Saimnieciskas pamatdarbibas NP'!AE75</f>
        <v>19360</v>
      </c>
      <c r="AF333" s="731">
        <f>'Saimnieciskas pamatdarbibas NP'!AF69+'Saimnieciskas pamatdarbibas NP'!AF75</f>
        <v>19800</v>
      </c>
      <c r="AG333" s="731">
        <f>'Saimnieciskas pamatdarbibas NP'!AG69+'Saimnieciskas pamatdarbibas NP'!AG75</f>
        <v>20240</v>
      </c>
      <c r="AH333" s="731">
        <f>'Saimnieciskas pamatdarbibas NP'!AH69+'Saimnieciskas pamatdarbibas NP'!AH75</f>
        <v>20680</v>
      </c>
      <c r="AI333" s="731">
        <f>'Saimnieciskas pamatdarbibas NP'!AI69+'Saimnieciskas pamatdarbibas NP'!AI75</f>
        <v>21120</v>
      </c>
      <c r="AJ333" s="138"/>
      <c r="AK333" s="138"/>
      <c r="AL333" s="138"/>
      <c r="AM333" s="235"/>
      <c r="AN333" s="133"/>
      <c r="AO333" s="112"/>
      <c r="AP333" s="133"/>
      <c r="AQ333" s="112"/>
      <c r="AR333" s="133"/>
      <c r="AS333" s="235"/>
      <c r="AT333" s="235"/>
      <c r="AU333" s="235"/>
      <c r="AV333" s="235"/>
      <c r="AW333" s="235"/>
      <c r="AX333" s="235"/>
      <c r="AY333" s="235"/>
      <c r="AZ333" s="235"/>
      <c r="BA333" s="235"/>
      <c r="BB333" s="235"/>
      <c r="BC333" s="235"/>
      <c r="BD333" s="235"/>
      <c r="BE333" s="235"/>
      <c r="BF333" s="235"/>
      <c r="BG333" s="235"/>
      <c r="BH333" s="235"/>
      <c r="BI333" s="235"/>
      <c r="BJ333" s="235"/>
      <c r="BK333" s="235"/>
      <c r="BL333" s="235"/>
      <c r="BM333" s="235"/>
      <c r="BN333" s="235"/>
      <c r="BO333" s="235"/>
      <c r="BP333" s="235"/>
      <c r="BQ333" s="235"/>
      <c r="BR333" s="235"/>
      <c r="BS333" s="235"/>
      <c r="BT333" s="235"/>
      <c r="BU333" s="235"/>
      <c r="BV333" s="235"/>
      <c r="BW333" s="235"/>
      <c r="BX333" s="235"/>
      <c r="BY333" s="235"/>
      <c r="BZ333" s="235"/>
      <c r="CA333" s="235"/>
      <c r="CB333" s="235"/>
      <c r="CC333" s="235"/>
      <c r="CD333" s="235"/>
      <c r="CE333" s="235"/>
      <c r="CF333" s="235"/>
      <c r="CG333" s="235"/>
      <c r="CH333" s="235"/>
      <c r="CI333" s="235"/>
      <c r="CJ333" s="235"/>
      <c r="CK333" s="235"/>
      <c r="CL333" s="235"/>
      <c r="CM333" s="235"/>
      <c r="CN333" s="235"/>
      <c r="CO333" s="235"/>
      <c r="CP333" s="235"/>
      <c r="CQ333" s="235"/>
      <c r="CR333" s="235"/>
      <c r="CS333" s="235"/>
      <c r="CT333" s="235"/>
      <c r="CU333" s="235"/>
      <c r="CV333" s="235"/>
      <c r="CW333" s="235"/>
      <c r="CX333" s="235"/>
      <c r="CY333" s="235"/>
      <c r="CZ333" s="235"/>
      <c r="DA333" s="235"/>
      <c r="DB333" s="235"/>
      <c r="DC333" s="235"/>
      <c r="DD333" s="235"/>
      <c r="DE333" s="235"/>
      <c r="DF333" s="235"/>
      <c r="DG333" s="235"/>
      <c r="DH333" s="235"/>
      <c r="DI333" s="235"/>
      <c r="DJ333" s="235"/>
      <c r="DK333" s="235"/>
      <c r="DL333" s="235"/>
      <c r="DM333" s="235"/>
      <c r="DN333" s="235"/>
      <c r="DO333" s="235"/>
      <c r="DP333" s="235"/>
      <c r="DQ333" s="235"/>
      <c r="DR333" s="235"/>
      <c r="DS333" s="235"/>
      <c r="DT333" s="235"/>
      <c r="DU333" s="235"/>
      <c r="DV333" s="235"/>
      <c r="DW333" s="235"/>
      <c r="DX333" s="235"/>
      <c r="DY333" s="235"/>
      <c r="DZ333" s="235"/>
      <c r="EA333" s="235"/>
      <c r="EB333" s="235"/>
      <c r="EC333" s="235"/>
      <c r="ED333" s="235"/>
      <c r="EE333" s="235"/>
      <c r="EF333" s="235"/>
      <c r="EG333" s="235"/>
      <c r="EH333" s="235"/>
      <c r="EI333" s="235"/>
      <c r="EJ333" s="235"/>
      <c r="EK333" s="235"/>
      <c r="EL333" s="235"/>
      <c r="EM333" s="235"/>
      <c r="EN333" s="235"/>
      <c r="EO333" s="235"/>
      <c r="EP333" s="235"/>
      <c r="EQ333" s="235"/>
      <c r="ER333" s="235"/>
      <c r="ES333" s="235"/>
      <c r="ET333" s="235"/>
      <c r="EU333" s="235"/>
      <c r="EV333" s="235"/>
      <c r="EW333" s="235"/>
      <c r="EX333" s="235"/>
      <c r="EY333" s="235"/>
      <c r="EZ333" s="235"/>
      <c r="FA333" s="235"/>
      <c r="FB333" s="235"/>
      <c r="FC333" s="235"/>
      <c r="FD333" s="235"/>
      <c r="FE333" s="235"/>
      <c r="FF333" s="235"/>
      <c r="FG333" s="235"/>
      <c r="FH333" s="235"/>
      <c r="FI333" s="235"/>
      <c r="FJ333" s="235"/>
      <c r="FK333" s="235"/>
      <c r="FL333" s="235"/>
      <c r="FM333" s="235"/>
      <c r="FN333" s="235"/>
      <c r="FO333" s="235"/>
      <c r="FP333" s="235"/>
      <c r="FQ333" s="235"/>
      <c r="FR333" s="235"/>
      <c r="FS333" s="235"/>
      <c r="FT333" s="235"/>
      <c r="FU333" s="235"/>
      <c r="FV333" s="235"/>
      <c r="FW333" s="235"/>
      <c r="FX333" s="235"/>
      <c r="FY333" s="235"/>
      <c r="FZ333" s="235"/>
      <c r="GA333" s="235"/>
      <c r="GB333" s="235"/>
      <c r="GC333" s="235"/>
      <c r="GD333" s="235"/>
      <c r="GE333" s="235"/>
      <c r="GF333" s="235"/>
      <c r="GG333" s="235"/>
      <c r="GH333" s="235"/>
      <c r="GI333" s="235"/>
      <c r="GJ333" s="235"/>
      <c r="GK333" s="235"/>
      <c r="GL333" s="235"/>
      <c r="GM333" s="235"/>
      <c r="GN333" s="235"/>
      <c r="GO333" s="235"/>
      <c r="GP333" s="235"/>
      <c r="GQ333" s="235"/>
      <c r="GR333" s="235"/>
      <c r="GS333" s="235"/>
      <c r="GT333" s="235"/>
      <c r="GU333" s="235"/>
      <c r="GV333" s="235"/>
      <c r="GW333" s="235"/>
      <c r="GX333" s="235"/>
      <c r="GY333" s="235"/>
      <c r="GZ333" s="235"/>
      <c r="HA333" s="235"/>
      <c r="HB333" s="235"/>
      <c r="HC333" s="235"/>
      <c r="HD333" s="235"/>
      <c r="HE333" s="235"/>
      <c r="HF333" s="235"/>
      <c r="HG333" s="235"/>
      <c r="HH333" s="235"/>
      <c r="HI333" s="235"/>
      <c r="HJ333" s="235"/>
      <c r="HK333" s="235"/>
      <c r="HL333" s="235"/>
      <c r="HM333" s="235"/>
      <c r="HN333" s="235"/>
      <c r="HO333" s="235"/>
      <c r="HP333" s="235"/>
      <c r="HQ333" s="235"/>
      <c r="HR333" s="235"/>
      <c r="HS333" s="235"/>
      <c r="HT333" s="235"/>
      <c r="HU333" s="235"/>
      <c r="HV333" s="235"/>
      <c r="HW333" s="235"/>
      <c r="HX333" s="235"/>
      <c r="HY333" s="235"/>
      <c r="HZ333" s="235"/>
      <c r="IA333" s="235"/>
      <c r="IB333" s="235"/>
      <c r="IC333" s="235"/>
      <c r="ID333" s="235"/>
      <c r="IE333" s="235"/>
      <c r="IF333" s="235"/>
      <c r="IG333" s="235"/>
      <c r="IH333" s="235"/>
      <c r="II333" s="235"/>
      <c r="IJ333" s="235"/>
      <c r="IK333" s="235"/>
      <c r="IL333" s="235"/>
      <c r="IM333" s="235"/>
      <c r="IN333" s="235"/>
      <c r="IO333" s="235"/>
      <c r="IP333" s="235"/>
      <c r="IQ333" s="235"/>
      <c r="IR333" s="235"/>
    </row>
    <row r="334" spans="1:252" s="183" customFormat="1" ht="12.75" customHeight="1" x14ac:dyDescent="0.2">
      <c r="A334" s="236" t="s">
        <v>193</v>
      </c>
      <c r="B334" s="736">
        <f t="shared" ref="B334:AG334" si="811">SUM(B335:B337)</f>
        <v>148118.79</v>
      </c>
      <c r="C334" s="736">
        <f t="shared" si="811"/>
        <v>152562.35</v>
      </c>
      <c r="D334" s="736">
        <f t="shared" si="811"/>
        <v>157842.48000000001</v>
      </c>
      <c r="E334" s="736">
        <f t="shared" si="811"/>
        <v>162309.72000000003</v>
      </c>
      <c r="F334" s="734">
        <f t="shared" si="811"/>
        <v>165287.88</v>
      </c>
      <c r="G334" s="736">
        <f t="shared" si="811"/>
        <v>168266.04</v>
      </c>
      <c r="H334" s="736">
        <f t="shared" si="811"/>
        <v>171244.2</v>
      </c>
      <c r="I334" s="736">
        <f t="shared" si="811"/>
        <v>174222.36</v>
      </c>
      <c r="J334" s="736">
        <f t="shared" si="811"/>
        <v>177200.52</v>
      </c>
      <c r="K334" s="736">
        <f t="shared" si="811"/>
        <v>180178.68</v>
      </c>
      <c r="L334" s="736">
        <f t="shared" si="811"/>
        <v>184645.91999999998</v>
      </c>
      <c r="M334" s="736">
        <f t="shared" si="811"/>
        <v>189113.16</v>
      </c>
      <c r="N334" s="736">
        <f t="shared" si="811"/>
        <v>193580.4</v>
      </c>
      <c r="O334" s="736">
        <f t="shared" si="811"/>
        <v>198047.64</v>
      </c>
      <c r="P334" s="736">
        <f t="shared" si="811"/>
        <v>202514.88</v>
      </c>
      <c r="Q334" s="736">
        <f t="shared" si="811"/>
        <v>206982.12</v>
      </c>
      <c r="R334" s="736">
        <f t="shared" si="811"/>
        <v>211449.36</v>
      </c>
      <c r="S334" s="736">
        <f t="shared" si="811"/>
        <v>215916.6</v>
      </c>
      <c r="T334" s="736">
        <f t="shared" si="811"/>
        <v>220383.84</v>
      </c>
      <c r="U334" s="736">
        <f t="shared" si="811"/>
        <v>224851.08000000002</v>
      </c>
      <c r="V334" s="736">
        <f t="shared" si="811"/>
        <v>229318.32</v>
      </c>
      <c r="W334" s="736">
        <f t="shared" si="811"/>
        <v>233785.56</v>
      </c>
      <c r="X334" s="736">
        <f t="shared" si="811"/>
        <v>238252.79999999999</v>
      </c>
      <c r="Y334" s="736">
        <f t="shared" si="811"/>
        <v>242720.04</v>
      </c>
      <c r="Z334" s="736">
        <f t="shared" si="811"/>
        <v>247187.28</v>
      </c>
      <c r="AA334" s="736">
        <f t="shared" si="811"/>
        <v>251654.52</v>
      </c>
      <c r="AB334" s="736">
        <f t="shared" si="811"/>
        <v>257610.84</v>
      </c>
      <c r="AC334" s="736">
        <f t="shared" si="811"/>
        <v>263567.16000000003</v>
      </c>
      <c r="AD334" s="736">
        <f t="shared" si="811"/>
        <v>269523.48</v>
      </c>
      <c r="AE334" s="736">
        <f t="shared" si="811"/>
        <v>275479.8</v>
      </c>
      <c r="AF334" s="736">
        <f t="shared" si="811"/>
        <v>281436.12</v>
      </c>
      <c r="AG334" s="736">
        <f t="shared" si="811"/>
        <v>287392.44</v>
      </c>
      <c r="AH334" s="736">
        <f>SUM(AH335:AH337)</f>
        <v>293348.76</v>
      </c>
      <c r="AI334" s="736">
        <f>SUM(AI335:AI337)</f>
        <v>299305.07999999996</v>
      </c>
      <c r="AJ334" s="235"/>
      <c r="AK334" s="235"/>
      <c r="AL334" s="113"/>
      <c r="AM334" s="235"/>
      <c r="AN334" s="133"/>
      <c r="AO334" s="112"/>
      <c r="AP334" s="133"/>
      <c r="AQ334" s="112"/>
      <c r="AR334" s="133"/>
      <c r="AS334" s="235"/>
      <c r="AT334" s="235"/>
      <c r="AU334" s="235"/>
      <c r="AV334" s="235"/>
      <c r="AW334" s="235"/>
      <c r="AX334" s="235"/>
      <c r="AY334" s="235"/>
      <c r="AZ334" s="235"/>
      <c r="BA334" s="235"/>
      <c r="BB334" s="235"/>
      <c r="BC334" s="235"/>
      <c r="BD334" s="235"/>
      <c r="BE334" s="235"/>
      <c r="BF334" s="235"/>
      <c r="BG334" s="235"/>
      <c r="BH334" s="235"/>
      <c r="BI334" s="235"/>
      <c r="BJ334" s="235"/>
      <c r="BK334" s="235"/>
      <c r="BL334" s="235"/>
      <c r="BM334" s="235"/>
      <c r="BN334" s="235"/>
      <c r="BO334" s="235"/>
      <c r="BP334" s="235"/>
      <c r="BQ334" s="235"/>
      <c r="BR334" s="235"/>
      <c r="BS334" s="235"/>
      <c r="BT334" s="235"/>
      <c r="BU334" s="235"/>
      <c r="BV334" s="235"/>
      <c r="BW334" s="235"/>
      <c r="BX334" s="235"/>
      <c r="BY334" s="235"/>
      <c r="BZ334" s="235"/>
      <c r="CA334" s="235"/>
      <c r="CB334" s="235"/>
      <c r="CC334" s="235"/>
      <c r="CD334" s="235"/>
      <c r="CE334" s="235"/>
      <c r="CF334" s="235"/>
      <c r="CG334" s="235"/>
      <c r="CH334" s="235"/>
      <c r="CI334" s="235"/>
      <c r="CJ334" s="235"/>
      <c r="CK334" s="235"/>
      <c r="CL334" s="235"/>
      <c r="CM334" s="235"/>
      <c r="CN334" s="235"/>
      <c r="CO334" s="235"/>
      <c r="CP334" s="235"/>
      <c r="CQ334" s="235"/>
      <c r="CR334" s="235"/>
      <c r="CS334" s="235"/>
      <c r="CT334" s="235"/>
      <c r="CU334" s="235"/>
      <c r="CV334" s="235"/>
      <c r="CW334" s="235"/>
      <c r="CX334" s="235"/>
      <c r="CY334" s="235"/>
      <c r="CZ334" s="235"/>
      <c r="DA334" s="235"/>
      <c r="DB334" s="235"/>
      <c r="DC334" s="235"/>
      <c r="DD334" s="235"/>
      <c r="DE334" s="235"/>
      <c r="DF334" s="235"/>
      <c r="DG334" s="235"/>
      <c r="DH334" s="235"/>
      <c r="DI334" s="235"/>
      <c r="DJ334" s="235"/>
      <c r="DK334" s="235"/>
      <c r="DL334" s="235"/>
      <c r="DM334" s="235"/>
      <c r="DN334" s="235"/>
      <c r="DO334" s="235"/>
      <c r="DP334" s="235"/>
      <c r="DQ334" s="235"/>
      <c r="DR334" s="235"/>
      <c r="DS334" s="235"/>
      <c r="DT334" s="235"/>
      <c r="DU334" s="235"/>
      <c r="DV334" s="235"/>
      <c r="DW334" s="235"/>
      <c r="DX334" s="235"/>
      <c r="DY334" s="235"/>
      <c r="DZ334" s="235"/>
      <c r="EA334" s="235"/>
      <c r="EB334" s="235"/>
      <c r="EC334" s="235"/>
      <c r="ED334" s="235"/>
      <c r="EE334" s="235"/>
      <c r="EF334" s="235"/>
      <c r="EG334" s="235"/>
      <c r="EH334" s="235"/>
      <c r="EI334" s="235"/>
      <c r="EJ334" s="235"/>
      <c r="EK334" s="235"/>
      <c r="EL334" s="235"/>
      <c r="EM334" s="235"/>
      <c r="EN334" s="235"/>
      <c r="EO334" s="235"/>
      <c r="EP334" s="235"/>
      <c r="EQ334" s="235"/>
      <c r="ER334" s="235"/>
      <c r="ES334" s="235"/>
      <c r="ET334" s="235"/>
      <c r="EU334" s="235"/>
      <c r="EV334" s="235"/>
      <c r="EW334" s="235"/>
      <c r="EX334" s="235"/>
      <c r="EY334" s="235"/>
      <c r="EZ334" s="235"/>
      <c r="FA334" s="235"/>
      <c r="FB334" s="235"/>
      <c r="FC334" s="235"/>
      <c r="FD334" s="235"/>
      <c r="FE334" s="235"/>
      <c r="FF334" s="235"/>
      <c r="FG334" s="235"/>
      <c r="FH334" s="235"/>
      <c r="FI334" s="235"/>
      <c r="FJ334" s="235"/>
      <c r="FK334" s="235"/>
      <c r="FL334" s="235"/>
      <c r="FM334" s="235"/>
      <c r="FN334" s="235"/>
      <c r="FO334" s="235"/>
      <c r="FP334" s="235"/>
      <c r="FQ334" s="235"/>
      <c r="FR334" s="235"/>
      <c r="FS334" s="235"/>
      <c r="FT334" s="235"/>
      <c r="FU334" s="235"/>
      <c r="FV334" s="235"/>
      <c r="FW334" s="235"/>
      <c r="FX334" s="235"/>
      <c r="FY334" s="235"/>
      <c r="FZ334" s="235"/>
      <c r="GA334" s="235"/>
      <c r="GB334" s="235"/>
      <c r="GC334" s="235"/>
      <c r="GD334" s="235"/>
      <c r="GE334" s="235"/>
      <c r="GF334" s="235"/>
      <c r="GG334" s="235"/>
      <c r="GH334" s="235"/>
      <c r="GI334" s="235"/>
      <c r="GJ334" s="235"/>
      <c r="GK334" s="235"/>
      <c r="GL334" s="235"/>
      <c r="GM334" s="235"/>
      <c r="GN334" s="235"/>
      <c r="GO334" s="235"/>
      <c r="GP334" s="235"/>
      <c r="GQ334" s="235"/>
      <c r="GR334" s="235"/>
      <c r="GS334" s="235"/>
      <c r="GT334" s="235"/>
      <c r="GU334" s="235"/>
      <c r="GV334" s="235"/>
      <c r="GW334" s="235"/>
      <c r="GX334" s="235"/>
      <c r="GY334" s="235"/>
      <c r="GZ334" s="235"/>
      <c r="HA334" s="235"/>
      <c r="HB334" s="235"/>
      <c r="HC334" s="235"/>
      <c r="HD334" s="235"/>
      <c r="HE334" s="235"/>
      <c r="HF334" s="235"/>
      <c r="HG334" s="235"/>
      <c r="HH334" s="235"/>
      <c r="HI334" s="235"/>
      <c r="HJ334" s="235"/>
      <c r="HK334" s="235"/>
      <c r="HL334" s="235"/>
      <c r="HM334" s="235"/>
      <c r="HN334" s="235"/>
      <c r="HO334" s="235"/>
      <c r="HP334" s="235"/>
      <c r="HQ334" s="235"/>
      <c r="HR334" s="235"/>
      <c r="HS334" s="235"/>
      <c r="HT334" s="235"/>
      <c r="HU334" s="235"/>
      <c r="HV334" s="235"/>
      <c r="HW334" s="235"/>
      <c r="HX334" s="235"/>
      <c r="HY334" s="235"/>
      <c r="HZ334" s="235"/>
      <c r="IA334" s="235"/>
      <c r="IB334" s="235"/>
      <c r="IC334" s="235"/>
      <c r="ID334" s="235"/>
      <c r="IE334" s="235"/>
      <c r="IF334" s="235"/>
      <c r="IG334" s="235"/>
      <c r="IH334" s="235"/>
      <c r="II334" s="235"/>
      <c r="IJ334" s="235"/>
      <c r="IK334" s="235"/>
      <c r="IL334" s="235"/>
      <c r="IM334" s="235"/>
      <c r="IN334" s="235"/>
      <c r="IO334" s="235"/>
      <c r="IP334" s="235"/>
      <c r="IQ334" s="235"/>
      <c r="IR334" s="235"/>
    </row>
    <row r="335" spans="1:252" s="183" customFormat="1" x14ac:dyDescent="0.2">
      <c r="A335" s="213" t="s">
        <v>194</v>
      </c>
      <c r="B335" s="731">
        <f>'Saimnieciskas pamatdarbibas NP'!B78+'Saimnieciskas pamatdarbibas NP'!B82</f>
        <v>119364</v>
      </c>
      <c r="C335" s="731">
        <f>'Saimnieciskas pamatdarbibas NP'!C78+'Saimnieciskas pamatdarbibas NP'!C82</f>
        <v>122944.92000000001</v>
      </c>
      <c r="D335" s="731">
        <f>'Saimnieciskas pamatdarbibas NP'!D78+'Saimnieciskas pamatdarbibas NP'!D82</f>
        <v>127200</v>
      </c>
      <c r="E335" s="731">
        <f>'Saimnieciskas pamatdarbibas NP'!E78+'Saimnieciskas pamatdarbibas NP'!E82</f>
        <v>130800.00000000001</v>
      </c>
      <c r="F335" s="730">
        <f>'Saimnieciskas pamatdarbibas NP'!F78+'Saimnieciskas pamatdarbibas NP'!F82</f>
        <v>133200</v>
      </c>
      <c r="G335" s="731">
        <f>'Saimnieciskas pamatdarbibas NP'!G78+'Saimnieciskas pamatdarbibas NP'!G82</f>
        <v>135600</v>
      </c>
      <c r="H335" s="731">
        <f>'Saimnieciskas pamatdarbibas NP'!H78+'Saimnieciskas pamatdarbibas NP'!H82</f>
        <v>138000</v>
      </c>
      <c r="I335" s="731">
        <f>'Saimnieciskas pamatdarbibas NP'!I78+'Saimnieciskas pamatdarbibas NP'!I82</f>
        <v>140400</v>
      </c>
      <c r="J335" s="731">
        <f>'Saimnieciskas pamatdarbibas NP'!J78+'Saimnieciskas pamatdarbibas NP'!J82</f>
        <v>142800</v>
      </c>
      <c r="K335" s="731">
        <f>'Saimnieciskas pamatdarbibas NP'!K78+'Saimnieciskas pamatdarbibas NP'!K82</f>
        <v>145200</v>
      </c>
      <c r="L335" s="731">
        <f>'Saimnieciskas pamatdarbibas NP'!L78+'Saimnieciskas pamatdarbibas NP'!L82</f>
        <v>148800</v>
      </c>
      <c r="M335" s="731">
        <f>'Saimnieciskas pamatdarbibas NP'!M78+'Saimnieciskas pamatdarbibas NP'!M82</f>
        <v>152400</v>
      </c>
      <c r="N335" s="731">
        <f>'Saimnieciskas pamatdarbibas NP'!N78+'Saimnieciskas pamatdarbibas NP'!N82</f>
        <v>156000</v>
      </c>
      <c r="O335" s="731">
        <f>'Saimnieciskas pamatdarbibas NP'!O78+'Saimnieciskas pamatdarbibas NP'!O82</f>
        <v>159600</v>
      </c>
      <c r="P335" s="731">
        <f>'Saimnieciskas pamatdarbibas NP'!P78+'Saimnieciskas pamatdarbibas NP'!P82</f>
        <v>163200</v>
      </c>
      <c r="Q335" s="731">
        <f>'Saimnieciskas pamatdarbibas NP'!Q78+'Saimnieciskas pamatdarbibas NP'!Q82</f>
        <v>166800</v>
      </c>
      <c r="R335" s="731">
        <f>'Saimnieciskas pamatdarbibas NP'!R78+'Saimnieciskas pamatdarbibas NP'!R82</f>
        <v>170400</v>
      </c>
      <c r="S335" s="731">
        <f>'Saimnieciskas pamatdarbibas NP'!S78+'Saimnieciskas pamatdarbibas NP'!S82</f>
        <v>174000</v>
      </c>
      <c r="T335" s="731">
        <f>'Saimnieciskas pamatdarbibas NP'!T78+'Saimnieciskas pamatdarbibas NP'!T82</f>
        <v>177600</v>
      </c>
      <c r="U335" s="731">
        <f>'Saimnieciskas pamatdarbibas NP'!U78+'Saimnieciskas pamatdarbibas NP'!U82</f>
        <v>181200</v>
      </c>
      <c r="V335" s="731">
        <f>'Saimnieciskas pamatdarbibas NP'!V78+'Saimnieciskas pamatdarbibas NP'!V82</f>
        <v>184800</v>
      </c>
      <c r="W335" s="731">
        <f>'Saimnieciskas pamatdarbibas NP'!W78+'Saimnieciskas pamatdarbibas NP'!W82</f>
        <v>188400</v>
      </c>
      <c r="X335" s="731">
        <f>'Saimnieciskas pamatdarbibas NP'!X78+'Saimnieciskas pamatdarbibas NP'!X82</f>
        <v>192000</v>
      </c>
      <c r="Y335" s="731">
        <f>'Saimnieciskas pamatdarbibas NP'!Y78+'Saimnieciskas pamatdarbibas NP'!Y82</f>
        <v>195600</v>
      </c>
      <c r="Z335" s="731">
        <f>'Saimnieciskas pamatdarbibas NP'!Z78+'Saimnieciskas pamatdarbibas NP'!Z82</f>
        <v>199200</v>
      </c>
      <c r="AA335" s="731">
        <f>'Saimnieciskas pamatdarbibas NP'!AA78+'Saimnieciskas pamatdarbibas NP'!AA82</f>
        <v>202800</v>
      </c>
      <c r="AB335" s="731">
        <f>'Saimnieciskas pamatdarbibas NP'!AB78+'Saimnieciskas pamatdarbibas NP'!AB82</f>
        <v>207600</v>
      </c>
      <c r="AC335" s="731">
        <f>'Saimnieciskas pamatdarbibas NP'!AC78+'Saimnieciskas pamatdarbibas NP'!AC82</f>
        <v>212400</v>
      </c>
      <c r="AD335" s="731">
        <f>'Saimnieciskas pamatdarbibas NP'!AD78+'Saimnieciskas pamatdarbibas NP'!AD82</f>
        <v>217200</v>
      </c>
      <c r="AE335" s="731">
        <f>'Saimnieciskas pamatdarbibas NP'!AE78+'Saimnieciskas pamatdarbibas NP'!AE82</f>
        <v>222000</v>
      </c>
      <c r="AF335" s="731">
        <f>'Saimnieciskas pamatdarbibas NP'!AF78+'Saimnieciskas pamatdarbibas NP'!AF82</f>
        <v>226800</v>
      </c>
      <c r="AG335" s="731">
        <f>'Saimnieciskas pamatdarbibas NP'!AG78+'Saimnieciskas pamatdarbibas NP'!AG82</f>
        <v>231600</v>
      </c>
      <c r="AH335" s="731">
        <f>'Saimnieciskas pamatdarbibas NP'!AH78+'Saimnieciskas pamatdarbibas NP'!AH82</f>
        <v>236400</v>
      </c>
      <c r="AI335" s="731">
        <f>'Saimnieciskas pamatdarbibas NP'!AI78+'Saimnieciskas pamatdarbibas NP'!AI82</f>
        <v>241199.99999999997</v>
      </c>
      <c r="AJ335" s="235"/>
      <c r="AK335" s="235"/>
      <c r="AL335" s="113"/>
      <c r="AM335" s="235"/>
      <c r="AN335" s="133"/>
      <c r="AO335" s="112"/>
      <c r="AP335" s="133"/>
      <c r="AQ335" s="112"/>
      <c r="AR335" s="133"/>
      <c r="AS335" s="235"/>
      <c r="AT335" s="235"/>
      <c r="AU335" s="235"/>
      <c r="AV335" s="235"/>
      <c r="AW335" s="235"/>
      <c r="AX335" s="235"/>
      <c r="AY335" s="235"/>
      <c r="AZ335" s="235"/>
      <c r="BA335" s="235"/>
      <c r="BB335" s="235"/>
      <c r="BC335" s="235"/>
      <c r="BD335" s="235"/>
      <c r="BE335" s="235"/>
      <c r="BF335" s="235"/>
      <c r="BG335" s="235"/>
      <c r="BH335" s="235"/>
      <c r="BI335" s="235"/>
      <c r="BJ335" s="235"/>
      <c r="BK335" s="235"/>
      <c r="BL335" s="235"/>
      <c r="BM335" s="235"/>
      <c r="BN335" s="235"/>
      <c r="BO335" s="235"/>
      <c r="BP335" s="235"/>
      <c r="BQ335" s="235"/>
      <c r="BR335" s="235"/>
      <c r="BS335" s="235"/>
      <c r="BT335" s="235"/>
      <c r="BU335" s="235"/>
      <c r="BV335" s="235"/>
      <c r="BW335" s="235"/>
      <c r="BX335" s="235"/>
      <c r="BY335" s="235"/>
      <c r="BZ335" s="235"/>
      <c r="CA335" s="235"/>
      <c r="CB335" s="235"/>
      <c r="CC335" s="235"/>
      <c r="CD335" s="235"/>
      <c r="CE335" s="235"/>
      <c r="CF335" s="235"/>
      <c r="CG335" s="235"/>
      <c r="CH335" s="235"/>
      <c r="CI335" s="235"/>
      <c r="CJ335" s="235"/>
      <c r="CK335" s="235"/>
      <c r="CL335" s="235"/>
      <c r="CM335" s="235"/>
      <c r="CN335" s="235"/>
      <c r="CO335" s="235"/>
      <c r="CP335" s="235"/>
      <c r="CQ335" s="235"/>
      <c r="CR335" s="235"/>
      <c r="CS335" s="235"/>
      <c r="CT335" s="235"/>
      <c r="CU335" s="235"/>
      <c r="CV335" s="235"/>
      <c r="CW335" s="235"/>
      <c r="CX335" s="235"/>
      <c r="CY335" s="235"/>
      <c r="CZ335" s="235"/>
      <c r="DA335" s="235"/>
      <c r="DB335" s="235"/>
      <c r="DC335" s="235"/>
      <c r="DD335" s="235"/>
      <c r="DE335" s="235"/>
      <c r="DF335" s="235"/>
      <c r="DG335" s="235"/>
      <c r="DH335" s="235"/>
      <c r="DI335" s="235"/>
      <c r="DJ335" s="235"/>
      <c r="DK335" s="235"/>
      <c r="DL335" s="235"/>
      <c r="DM335" s="235"/>
      <c r="DN335" s="235"/>
      <c r="DO335" s="235"/>
      <c r="DP335" s="235"/>
      <c r="DQ335" s="235"/>
      <c r="DR335" s="235"/>
      <c r="DS335" s="235"/>
      <c r="DT335" s="235"/>
      <c r="DU335" s="235"/>
      <c r="DV335" s="235"/>
      <c r="DW335" s="235"/>
      <c r="DX335" s="235"/>
      <c r="DY335" s="235"/>
      <c r="DZ335" s="235"/>
      <c r="EA335" s="235"/>
      <c r="EB335" s="235"/>
      <c r="EC335" s="235"/>
      <c r="ED335" s="235"/>
      <c r="EE335" s="235"/>
      <c r="EF335" s="235"/>
      <c r="EG335" s="235"/>
      <c r="EH335" s="235"/>
      <c r="EI335" s="235"/>
      <c r="EJ335" s="235"/>
      <c r="EK335" s="235"/>
      <c r="EL335" s="235"/>
      <c r="EM335" s="235"/>
      <c r="EN335" s="235"/>
      <c r="EO335" s="235"/>
      <c r="EP335" s="235"/>
      <c r="EQ335" s="235"/>
      <c r="ER335" s="235"/>
      <c r="ES335" s="235"/>
      <c r="ET335" s="235"/>
      <c r="EU335" s="235"/>
      <c r="EV335" s="235"/>
      <c r="EW335" s="235"/>
      <c r="EX335" s="235"/>
      <c r="EY335" s="235"/>
      <c r="EZ335" s="235"/>
      <c r="FA335" s="235"/>
      <c r="FB335" s="235"/>
      <c r="FC335" s="235"/>
      <c r="FD335" s="235"/>
      <c r="FE335" s="235"/>
      <c r="FF335" s="235"/>
      <c r="FG335" s="235"/>
      <c r="FH335" s="235"/>
      <c r="FI335" s="235"/>
      <c r="FJ335" s="235"/>
      <c r="FK335" s="235"/>
      <c r="FL335" s="235"/>
      <c r="FM335" s="235"/>
      <c r="FN335" s="235"/>
      <c r="FO335" s="235"/>
      <c r="FP335" s="235"/>
      <c r="FQ335" s="235"/>
      <c r="FR335" s="235"/>
      <c r="FS335" s="235"/>
      <c r="FT335" s="235"/>
      <c r="FU335" s="235"/>
      <c r="FV335" s="235"/>
      <c r="FW335" s="235"/>
      <c r="FX335" s="235"/>
      <c r="FY335" s="235"/>
      <c r="FZ335" s="235"/>
      <c r="GA335" s="235"/>
      <c r="GB335" s="235"/>
      <c r="GC335" s="235"/>
      <c r="GD335" s="235"/>
      <c r="GE335" s="235"/>
      <c r="GF335" s="235"/>
      <c r="GG335" s="235"/>
      <c r="GH335" s="235"/>
      <c r="GI335" s="235"/>
      <c r="GJ335" s="235"/>
      <c r="GK335" s="235"/>
      <c r="GL335" s="235"/>
      <c r="GM335" s="235"/>
      <c r="GN335" s="235"/>
      <c r="GO335" s="235"/>
      <c r="GP335" s="235"/>
      <c r="GQ335" s="235"/>
      <c r="GR335" s="235"/>
      <c r="GS335" s="235"/>
      <c r="GT335" s="235"/>
      <c r="GU335" s="235"/>
      <c r="GV335" s="235"/>
      <c r="GW335" s="235"/>
      <c r="GX335" s="235"/>
      <c r="GY335" s="235"/>
      <c r="GZ335" s="235"/>
      <c r="HA335" s="235"/>
      <c r="HB335" s="235"/>
      <c r="HC335" s="235"/>
      <c r="HD335" s="235"/>
      <c r="HE335" s="235"/>
      <c r="HF335" s="235"/>
      <c r="HG335" s="235"/>
      <c r="HH335" s="235"/>
      <c r="HI335" s="235"/>
      <c r="HJ335" s="235"/>
      <c r="HK335" s="235"/>
      <c r="HL335" s="235"/>
      <c r="HM335" s="235"/>
      <c r="HN335" s="235"/>
      <c r="HO335" s="235"/>
      <c r="HP335" s="235"/>
      <c r="HQ335" s="235"/>
      <c r="HR335" s="235"/>
      <c r="HS335" s="235"/>
      <c r="HT335" s="235"/>
      <c r="HU335" s="235"/>
      <c r="HV335" s="235"/>
      <c r="HW335" s="235"/>
      <c r="HX335" s="235"/>
      <c r="HY335" s="235"/>
      <c r="HZ335" s="235"/>
      <c r="IA335" s="235"/>
      <c r="IB335" s="235"/>
      <c r="IC335" s="235"/>
      <c r="ID335" s="235"/>
      <c r="IE335" s="235"/>
      <c r="IF335" s="235"/>
      <c r="IG335" s="235"/>
      <c r="IH335" s="235"/>
      <c r="II335" s="235"/>
      <c r="IJ335" s="235"/>
      <c r="IK335" s="235"/>
      <c r="IL335" s="235"/>
      <c r="IM335" s="235"/>
      <c r="IN335" s="235"/>
      <c r="IO335" s="235"/>
      <c r="IP335" s="235"/>
      <c r="IQ335" s="235"/>
      <c r="IR335" s="235"/>
    </row>
    <row r="336" spans="1:252" s="183" customFormat="1" x14ac:dyDescent="0.2">
      <c r="A336" s="213" t="s">
        <v>195</v>
      </c>
      <c r="B336" s="731">
        <f>'Saimnieciskas pamatdarbibas NP'!B79+'Saimnieciskas pamatdarbibas NP'!B83</f>
        <v>28754.79</v>
      </c>
      <c r="C336" s="731">
        <f>'Saimnieciskas pamatdarbibas NP'!C79+'Saimnieciskas pamatdarbibas NP'!C83</f>
        <v>29617.43</v>
      </c>
      <c r="D336" s="731">
        <f>'Saimnieciskas pamatdarbibas NP'!D79+'Saimnieciskas pamatdarbibas NP'!D83</f>
        <v>30642.48</v>
      </c>
      <c r="E336" s="731">
        <f>'Saimnieciskas pamatdarbibas NP'!E79+'Saimnieciskas pamatdarbibas NP'!E83</f>
        <v>31509.72</v>
      </c>
      <c r="F336" s="730">
        <f>'Saimnieciskas pamatdarbibas NP'!F79+'Saimnieciskas pamatdarbibas NP'!F83</f>
        <v>32087.88</v>
      </c>
      <c r="G336" s="731">
        <f>'Saimnieciskas pamatdarbibas NP'!G79+'Saimnieciskas pamatdarbibas NP'!G83</f>
        <v>32666.04</v>
      </c>
      <c r="H336" s="731">
        <f>'Saimnieciskas pamatdarbibas NP'!H79+'Saimnieciskas pamatdarbibas NP'!H83</f>
        <v>33244.199999999997</v>
      </c>
      <c r="I336" s="731">
        <f>'Saimnieciskas pamatdarbibas NP'!I79+'Saimnieciskas pamatdarbibas NP'!I83</f>
        <v>33822.36</v>
      </c>
      <c r="J336" s="731">
        <f>'Saimnieciskas pamatdarbibas NP'!J79+'Saimnieciskas pamatdarbibas NP'!J83</f>
        <v>34400.519999999997</v>
      </c>
      <c r="K336" s="731">
        <f>'Saimnieciskas pamatdarbibas NP'!K79+'Saimnieciskas pamatdarbibas NP'!K83</f>
        <v>34978.68</v>
      </c>
      <c r="L336" s="731">
        <f>'Saimnieciskas pamatdarbibas NP'!L79+'Saimnieciskas pamatdarbibas NP'!L83</f>
        <v>35845.919999999998</v>
      </c>
      <c r="M336" s="731">
        <f>'Saimnieciskas pamatdarbibas NP'!M79+'Saimnieciskas pamatdarbibas NP'!M83</f>
        <v>36713.160000000003</v>
      </c>
      <c r="N336" s="731">
        <f>'Saimnieciskas pamatdarbibas NP'!N79+'Saimnieciskas pamatdarbibas NP'!N83</f>
        <v>37580.400000000001</v>
      </c>
      <c r="O336" s="731">
        <f>'Saimnieciskas pamatdarbibas NP'!O79+'Saimnieciskas pamatdarbibas NP'!O83</f>
        <v>38447.64</v>
      </c>
      <c r="P336" s="731">
        <f>'Saimnieciskas pamatdarbibas NP'!P79+'Saimnieciskas pamatdarbibas NP'!P83</f>
        <v>39314.879999999997</v>
      </c>
      <c r="Q336" s="731">
        <f>'Saimnieciskas pamatdarbibas NP'!Q79+'Saimnieciskas pamatdarbibas NP'!Q83</f>
        <v>40182.120000000003</v>
      </c>
      <c r="R336" s="731">
        <f>'Saimnieciskas pamatdarbibas NP'!R79+'Saimnieciskas pamatdarbibas NP'!R83</f>
        <v>41049.360000000001</v>
      </c>
      <c r="S336" s="731">
        <f>'Saimnieciskas pamatdarbibas NP'!S79+'Saimnieciskas pamatdarbibas NP'!S83</f>
        <v>41916.6</v>
      </c>
      <c r="T336" s="731">
        <f>'Saimnieciskas pamatdarbibas NP'!T79+'Saimnieciskas pamatdarbibas NP'!T83</f>
        <v>42783.839999999997</v>
      </c>
      <c r="U336" s="731">
        <f>'Saimnieciskas pamatdarbibas NP'!U79+'Saimnieciskas pamatdarbibas NP'!U83</f>
        <v>43651.08</v>
      </c>
      <c r="V336" s="731">
        <f>'Saimnieciskas pamatdarbibas NP'!V79+'Saimnieciskas pamatdarbibas NP'!V83</f>
        <v>44518.32</v>
      </c>
      <c r="W336" s="731">
        <f>'Saimnieciskas pamatdarbibas NP'!W79+'Saimnieciskas pamatdarbibas NP'!W83</f>
        <v>45385.56</v>
      </c>
      <c r="X336" s="731">
        <f>'Saimnieciskas pamatdarbibas NP'!X79+'Saimnieciskas pamatdarbibas NP'!X83</f>
        <v>46252.800000000003</v>
      </c>
      <c r="Y336" s="731">
        <f>'Saimnieciskas pamatdarbibas NP'!Y79+'Saimnieciskas pamatdarbibas NP'!Y83</f>
        <v>47120.04</v>
      </c>
      <c r="Z336" s="731">
        <f>'Saimnieciskas pamatdarbibas NP'!Z79+'Saimnieciskas pamatdarbibas NP'!Z83</f>
        <v>47987.28</v>
      </c>
      <c r="AA336" s="731">
        <f>'Saimnieciskas pamatdarbibas NP'!AA79+'Saimnieciskas pamatdarbibas NP'!AA83</f>
        <v>48854.52</v>
      </c>
      <c r="AB336" s="731">
        <f>'Saimnieciskas pamatdarbibas NP'!AB79+'Saimnieciskas pamatdarbibas NP'!AB83</f>
        <v>50010.84</v>
      </c>
      <c r="AC336" s="731">
        <f>'Saimnieciskas pamatdarbibas NP'!AC79+'Saimnieciskas pamatdarbibas NP'!AC83</f>
        <v>51167.16</v>
      </c>
      <c r="AD336" s="731">
        <f>'Saimnieciskas pamatdarbibas NP'!AD79+'Saimnieciskas pamatdarbibas NP'!AD83</f>
        <v>52323.48</v>
      </c>
      <c r="AE336" s="731">
        <f>'Saimnieciskas pamatdarbibas NP'!AE79+'Saimnieciskas pamatdarbibas NP'!AE83</f>
        <v>53479.8</v>
      </c>
      <c r="AF336" s="731">
        <f>'Saimnieciskas pamatdarbibas NP'!AF79+'Saimnieciskas pamatdarbibas NP'!AF83</f>
        <v>54636.12</v>
      </c>
      <c r="AG336" s="731">
        <f>'Saimnieciskas pamatdarbibas NP'!AG79+'Saimnieciskas pamatdarbibas NP'!AG83</f>
        <v>55792.44</v>
      </c>
      <c r="AH336" s="731">
        <f>'Saimnieciskas pamatdarbibas NP'!AH79+'Saimnieciskas pamatdarbibas NP'!AH83</f>
        <v>56948.76</v>
      </c>
      <c r="AI336" s="731">
        <f>'Saimnieciskas pamatdarbibas NP'!AI79+'Saimnieciskas pamatdarbibas NP'!AI83</f>
        <v>58105.08</v>
      </c>
      <c r="AJ336" s="235"/>
      <c r="AK336" s="235"/>
      <c r="AL336" s="113"/>
      <c r="AM336" s="235"/>
      <c r="AN336" s="133"/>
      <c r="AO336" s="112"/>
      <c r="AP336" s="133"/>
      <c r="AQ336" s="112"/>
      <c r="AR336" s="133"/>
      <c r="AS336" s="235"/>
      <c r="AT336" s="235"/>
      <c r="AU336" s="235"/>
      <c r="AV336" s="235"/>
      <c r="AW336" s="235"/>
      <c r="AX336" s="235"/>
      <c r="AY336" s="235"/>
      <c r="AZ336" s="235"/>
      <c r="BA336" s="235"/>
      <c r="BB336" s="235"/>
      <c r="BC336" s="235"/>
      <c r="BD336" s="235"/>
      <c r="BE336" s="235"/>
      <c r="BF336" s="235"/>
      <c r="BG336" s="235"/>
      <c r="BH336" s="235"/>
      <c r="BI336" s="235"/>
      <c r="BJ336" s="235"/>
      <c r="BK336" s="235"/>
      <c r="BL336" s="235"/>
      <c r="BM336" s="235"/>
      <c r="BN336" s="235"/>
      <c r="BO336" s="235"/>
      <c r="BP336" s="235"/>
      <c r="BQ336" s="235"/>
      <c r="BR336" s="235"/>
      <c r="BS336" s="235"/>
      <c r="BT336" s="235"/>
      <c r="BU336" s="235"/>
      <c r="BV336" s="235"/>
      <c r="BW336" s="235"/>
      <c r="BX336" s="235"/>
      <c r="BY336" s="235"/>
      <c r="BZ336" s="235"/>
      <c r="CA336" s="235"/>
      <c r="CB336" s="235"/>
      <c r="CC336" s="235"/>
      <c r="CD336" s="235"/>
      <c r="CE336" s="235"/>
      <c r="CF336" s="235"/>
      <c r="CG336" s="235"/>
      <c r="CH336" s="235"/>
      <c r="CI336" s="235"/>
      <c r="CJ336" s="235"/>
      <c r="CK336" s="235"/>
      <c r="CL336" s="235"/>
      <c r="CM336" s="235"/>
      <c r="CN336" s="235"/>
      <c r="CO336" s="235"/>
      <c r="CP336" s="235"/>
      <c r="CQ336" s="235"/>
      <c r="CR336" s="235"/>
      <c r="CS336" s="235"/>
      <c r="CT336" s="235"/>
      <c r="CU336" s="235"/>
      <c r="CV336" s="235"/>
      <c r="CW336" s="235"/>
      <c r="CX336" s="235"/>
      <c r="CY336" s="235"/>
      <c r="CZ336" s="235"/>
      <c r="DA336" s="235"/>
      <c r="DB336" s="235"/>
      <c r="DC336" s="235"/>
      <c r="DD336" s="235"/>
      <c r="DE336" s="235"/>
      <c r="DF336" s="235"/>
      <c r="DG336" s="235"/>
      <c r="DH336" s="235"/>
      <c r="DI336" s="235"/>
      <c r="DJ336" s="235"/>
      <c r="DK336" s="235"/>
      <c r="DL336" s="235"/>
      <c r="DM336" s="235"/>
      <c r="DN336" s="235"/>
      <c r="DO336" s="235"/>
      <c r="DP336" s="235"/>
      <c r="DQ336" s="235"/>
      <c r="DR336" s="235"/>
      <c r="DS336" s="235"/>
      <c r="DT336" s="235"/>
      <c r="DU336" s="235"/>
      <c r="DV336" s="235"/>
      <c r="DW336" s="235"/>
      <c r="DX336" s="235"/>
      <c r="DY336" s="235"/>
      <c r="DZ336" s="235"/>
      <c r="EA336" s="235"/>
      <c r="EB336" s="235"/>
      <c r="EC336" s="235"/>
      <c r="ED336" s="235"/>
      <c r="EE336" s="235"/>
      <c r="EF336" s="235"/>
      <c r="EG336" s="235"/>
      <c r="EH336" s="235"/>
      <c r="EI336" s="235"/>
      <c r="EJ336" s="235"/>
      <c r="EK336" s="235"/>
      <c r="EL336" s="235"/>
      <c r="EM336" s="235"/>
      <c r="EN336" s="235"/>
      <c r="EO336" s="235"/>
      <c r="EP336" s="235"/>
      <c r="EQ336" s="235"/>
      <c r="ER336" s="235"/>
      <c r="ES336" s="235"/>
      <c r="ET336" s="235"/>
      <c r="EU336" s="235"/>
      <c r="EV336" s="235"/>
      <c r="EW336" s="235"/>
      <c r="EX336" s="235"/>
      <c r="EY336" s="235"/>
      <c r="EZ336" s="235"/>
      <c r="FA336" s="235"/>
      <c r="FB336" s="235"/>
      <c r="FC336" s="235"/>
      <c r="FD336" s="235"/>
      <c r="FE336" s="235"/>
      <c r="FF336" s="235"/>
      <c r="FG336" s="235"/>
      <c r="FH336" s="235"/>
      <c r="FI336" s="235"/>
      <c r="FJ336" s="235"/>
      <c r="FK336" s="235"/>
      <c r="FL336" s="235"/>
      <c r="FM336" s="235"/>
      <c r="FN336" s="235"/>
      <c r="FO336" s="235"/>
      <c r="FP336" s="235"/>
      <c r="FQ336" s="235"/>
      <c r="FR336" s="235"/>
      <c r="FS336" s="235"/>
      <c r="FT336" s="235"/>
      <c r="FU336" s="235"/>
      <c r="FV336" s="235"/>
      <c r="FW336" s="235"/>
      <c r="FX336" s="235"/>
      <c r="FY336" s="235"/>
      <c r="FZ336" s="235"/>
      <c r="GA336" s="235"/>
      <c r="GB336" s="235"/>
      <c r="GC336" s="235"/>
      <c r="GD336" s="235"/>
      <c r="GE336" s="235"/>
      <c r="GF336" s="235"/>
      <c r="GG336" s="235"/>
      <c r="GH336" s="235"/>
      <c r="GI336" s="235"/>
      <c r="GJ336" s="235"/>
      <c r="GK336" s="235"/>
      <c r="GL336" s="235"/>
      <c r="GM336" s="235"/>
      <c r="GN336" s="235"/>
      <c r="GO336" s="235"/>
      <c r="GP336" s="235"/>
      <c r="GQ336" s="235"/>
      <c r="GR336" s="235"/>
      <c r="GS336" s="235"/>
      <c r="GT336" s="235"/>
      <c r="GU336" s="235"/>
      <c r="GV336" s="235"/>
      <c r="GW336" s="235"/>
      <c r="GX336" s="235"/>
      <c r="GY336" s="235"/>
      <c r="GZ336" s="235"/>
      <c r="HA336" s="235"/>
      <c r="HB336" s="235"/>
      <c r="HC336" s="235"/>
      <c r="HD336" s="235"/>
      <c r="HE336" s="235"/>
      <c r="HF336" s="235"/>
      <c r="HG336" s="235"/>
      <c r="HH336" s="235"/>
      <c r="HI336" s="235"/>
      <c r="HJ336" s="235"/>
      <c r="HK336" s="235"/>
      <c r="HL336" s="235"/>
      <c r="HM336" s="235"/>
      <c r="HN336" s="235"/>
      <c r="HO336" s="235"/>
      <c r="HP336" s="235"/>
      <c r="HQ336" s="235"/>
      <c r="HR336" s="235"/>
      <c r="HS336" s="235"/>
      <c r="HT336" s="235"/>
      <c r="HU336" s="235"/>
      <c r="HV336" s="235"/>
      <c r="HW336" s="235"/>
      <c r="HX336" s="235"/>
      <c r="HY336" s="235"/>
      <c r="HZ336" s="235"/>
      <c r="IA336" s="235"/>
      <c r="IB336" s="235"/>
      <c r="IC336" s="235"/>
      <c r="ID336" s="235"/>
      <c r="IE336" s="235"/>
      <c r="IF336" s="235"/>
      <c r="IG336" s="235"/>
      <c r="IH336" s="235"/>
      <c r="II336" s="235"/>
      <c r="IJ336" s="235"/>
      <c r="IK336" s="235"/>
      <c r="IL336" s="235"/>
      <c r="IM336" s="235"/>
      <c r="IN336" s="235"/>
      <c r="IO336" s="235"/>
      <c r="IP336" s="235"/>
      <c r="IQ336" s="235"/>
      <c r="IR336" s="235"/>
    </row>
    <row r="337" spans="1:252" s="183" customFormat="1" x14ac:dyDescent="0.2">
      <c r="A337" s="213" t="s">
        <v>196</v>
      </c>
      <c r="B337" s="731">
        <f>'Saimnieciskas pamatdarbibas NP'!B80+'Saimnieciskas pamatdarbibas NP'!B84</f>
        <v>0</v>
      </c>
      <c r="C337" s="731">
        <f>'Saimnieciskas pamatdarbibas NP'!C80+'Saimnieciskas pamatdarbibas NP'!C84</f>
        <v>0</v>
      </c>
      <c r="D337" s="731">
        <f>'Saimnieciskas pamatdarbibas NP'!D80+'Saimnieciskas pamatdarbibas NP'!D84</f>
        <v>0</v>
      </c>
      <c r="E337" s="731">
        <f>'Saimnieciskas pamatdarbibas NP'!E80+'Saimnieciskas pamatdarbibas NP'!E84</f>
        <v>0</v>
      </c>
      <c r="F337" s="730">
        <f>'Saimnieciskas pamatdarbibas NP'!F80+'Saimnieciskas pamatdarbibas NP'!F84</f>
        <v>0</v>
      </c>
      <c r="G337" s="731">
        <f>'Saimnieciskas pamatdarbibas NP'!G80+'Saimnieciskas pamatdarbibas NP'!G84</f>
        <v>0</v>
      </c>
      <c r="H337" s="731">
        <f>'Saimnieciskas pamatdarbibas NP'!H80+'Saimnieciskas pamatdarbibas NP'!H84</f>
        <v>0</v>
      </c>
      <c r="I337" s="731">
        <f>'Saimnieciskas pamatdarbibas NP'!I80+'Saimnieciskas pamatdarbibas NP'!I84</f>
        <v>0</v>
      </c>
      <c r="J337" s="731">
        <f>'Saimnieciskas pamatdarbibas NP'!J80+'Saimnieciskas pamatdarbibas NP'!J84</f>
        <v>0</v>
      </c>
      <c r="K337" s="731">
        <f>'Saimnieciskas pamatdarbibas NP'!K80+'Saimnieciskas pamatdarbibas NP'!K84</f>
        <v>0</v>
      </c>
      <c r="L337" s="731">
        <f>'Saimnieciskas pamatdarbibas NP'!L80+'Saimnieciskas pamatdarbibas NP'!L84</f>
        <v>0</v>
      </c>
      <c r="M337" s="731">
        <f>'Saimnieciskas pamatdarbibas NP'!M80+'Saimnieciskas pamatdarbibas NP'!M84</f>
        <v>0</v>
      </c>
      <c r="N337" s="731">
        <f>'Saimnieciskas pamatdarbibas NP'!N80+'Saimnieciskas pamatdarbibas NP'!N84</f>
        <v>0</v>
      </c>
      <c r="O337" s="731">
        <f>'Saimnieciskas pamatdarbibas NP'!O80+'Saimnieciskas pamatdarbibas NP'!O84</f>
        <v>0</v>
      </c>
      <c r="P337" s="731">
        <f>'Saimnieciskas pamatdarbibas NP'!P80+'Saimnieciskas pamatdarbibas NP'!P84</f>
        <v>0</v>
      </c>
      <c r="Q337" s="731">
        <f>'Saimnieciskas pamatdarbibas NP'!Q80+'Saimnieciskas pamatdarbibas NP'!Q84</f>
        <v>0</v>
      </c>
      <c r="R337" s="731">
        <f>'Saimnieciskas pamatdarbibas NP'!R80+'Saimnieciskas pamatdarbibas NP'!R84</f>
        <v>0</v>
      </c>
      <c r="S337" s="731">
        <f>'Saimnieciskas pamatdarbibas NP'!S80+'Saimnieciskas pamatdarbibas NP'!S84</f>
        <v>0</v>
      </c>
      <c r="T337" s="731">
        <f>'Saimnieciskas pamatdarbibas NP'!T80+'Saimnieciskas pamatdarbibas NP'!T84</f>
        <v>0</v>
      </c>
      <c r="U337" s="731">
        <f>'Saimnieciskas pamatdarbibas NP'!U80+'Saimnieciskas pamatdarbibas NP'!U84</f>
        <v>0</v>
      </c>
      <c r="V337" s="731">
        <f>'Saimnieciskas pamatdarbibas NP'!V80+'Saimnieciskas pamatdarbibas NP'!V84</f>
        <v>0</v>
      </c>
      <c r="W337" s="731">
        <f>'Saimnieciskas pamatdarbibas NP'!W80+'Saimnieciskas pamatdarbibas NP'!W84</f>
        <v>0</v>
      </c>
      <c r="X337" s="731">
        <f>'Saimnieciskas pamatdarbibas NP'!X80+'Saimnieciskas pamatdarbibas NP'!X84</f>
        <v>0</v>
      </c>
      <c r="Y337" s="731">
        <f>'Saimnieciskas pamatdarbibas NP'!Y80+'Saimnieciskas pamatdarbibas NP'!Y84</f>
        <v>0</v>
      </c>
      <c r="Z337" s="731">
        <f>'Saimnieciskas pamatdarbibas NP'!Z80+'Saimnieciskas pamatdarbibas NP'!Z84</f>
        <v>0</v>
      </c>
      <c r="AA337" s="731">
        <f>'Saimnieciskas pamatdarbibas NP'!AA80+'Saimnieciskas pamatdarbibas NP'!AA84</f>
        <v>0</v>
      </c>
      <c r="AB337" s="731">
        <f>'Saimnieciskas pamatdarbibas NP'!AB80+'Saimnieciskas pamatdarbibas NP'!AB84</f>
        <v>0</v>
      </c>
      <c r="AC337" s="731">
        <f>'Saimnieciskas pamatdarbibas NP'!AC80+'Saimnieciskas pamatdarbibas NP'!AC84</f>
        <v>0</v>
      </c>
      <c r="AD337" s="731">
        <f>'Saimnieciskas pamatdarbibas NP'!AD80+'Saimnieciskas pamatdarbibas NP'!AD84</f>
        <v>0</v>
      </c>
      <c r="AE337" s="731">
        <f>'Saimnieciskas pamatdarbibas NP'!AE80+'Saimnieciskas pamatdarbibas NP'!AE84</f>
        <v>0</v>
      </c>
      <c r="AF337" s="731">
        <f>'Saimnieciskas pamatdarbibas NP'!AF80+'Saimnieciskas pamatdarbibas NP'!AF84</f>
        <v>0</v>
      </c>
      <c r="AG337" s="731">
        <f>'Saimnieciskas pamatdarbibas NP'!AG80+'Saimnieciskas pamatdarbibas NP'!AG84</f>
        <v>0</v>
      </c>
      <c r="AH337" s="731">
        <f>'Saimnieciskas pamatdarbibas NP'!AH80+'Saimnieciskas pamatdarbibas NP'!AH84</f>
        <v>0</v>
      </c>
      <c r="AI337" s="731">
        <f>'Saimnieciskas pamatdarbibas NP'!AI80+'Saimnieciskas pamatdarbibas NP'!AI84</f>
        <v>0</v>
      </c>
      <c r="AJ337" s="235"/>
      <c r="AK337" s="235"/>
      <c r="AL337" s="113"/>
      <c r="AM337" s="235"/>
      <c r="AN337" s="133"/>
      <c r="AO337" s="112"/>
      <c r="AP337" s="133"/>
      <c r="AQ337" s="112"/>
      <c r="AR337" s="133"/>
      <c r="AS337" s="235"/>
      <c r="AT337" s="235"/>
      <c r="AU337" s="235"/>
      <c r="AV337" s="235"/>
      <c r="AW337" s="235"/>
      <c r="AX337" s="235"/>
      <c r="AY337" s="235"/>
      <c r="AZ337" s="235"/>
      <c r="BA337" s="235"/>
      <c r="BB337" s="235"/>
      <c r="BC337" s="235"/>
      <c r="BD337" s="235"/>
      <c r="BE337" s="235"/>
      <c r="BF337" s="235"/>
      <c r="BG337" s="235"/>
      <c r="BH337" s="235"/>
      <c r="BI337" s="235"/>
      <c r="BJ337" s="235"/>
      <c r="BK337" s="235"/>
      <c r="BL337" s="235"/>
      <c r="BM337" s="235"/>
      <c r="BN337" s="235"/>
      <c r="BO337" s="235"/>
      <c r="BP337" s="235"/>
      <c r="BQ337" s="235"/>
      <c r="BR337" s="235"/>
      <c r="BS337" s="235"/>
      <c r="BT337" s="235"/>
      <c r="BU337" s="235"/>
      <c r="BV337" s="235"/>
      <c r="BW337" s="235"/>
      <c r="BX337" s="235"/>
      <c r="BY337" s="235"/>
      <c r="BZ337" s="235"/>
      <c r="CA337" s="235"/>
      <c r="CB337" s="235"/>
      <c r="CC337" s="235"/>
      <c r="CD337" s="235"/>
      <c r="CE337" s="235"/>
      <c r="CF337" s="235"/>
      <c r="CG337" s="235"/>
      <c r="CH337" s="235"/>
      <c r="CI337" s="235"/>
      <c r="CJ337" s="235"/>
      <c r="CK337" s="235"/>
      <c r="CL337" s="235"/>
      <c r="CM337" s="235"/>
      <c r="CN337" s="235"/>
      <c r="CO337" s="235"/>
      <c r="CP337" s="235"/>
      <c r="CQ337" s="235"/>
      <c r="CR337" s="235"/>
      <c r="CS337" s="235"/>
      <c r="CT337" s="235"/>
      <c r="CU337" s="235"/>
      <c r="CV337" s="235"/>
      <c r="CW337" s="235"/>
      <c r="CX337" s="235"/>
      <c r="CY337" s="235"/>
      <c r="CZ337" s="235"/>
      <c r="DA337" s="235"/>
      <c r="DB337" s="235"/>
      <c r="DC337" s="235"/>
      <c r="DD337" s="235"/>
      <c r="DE337" s="235"/>
      <c r="DF337" s="235"/>
      <c r="DG337" s="235"/>
      <c r="DH337" s="235"/>
      <c r="DI337" s="235"/>
      <c r="DJ337" s="235"/>
      <c r="DK337" s="235"/>
      <c r="DL337" s="235"/>
      <c r="DM337" s="235"/>
      <c r="DN337" s="235"/>
      <c r="DO337" s="235"/>
      <c r="DP337" s="235"/>
      <c r="DQ337" s="235"/>
      <c r="DR337" s="235"/>
      <c r="DS337" s="235"/>
      <c r="DT337" s="235"/>
      <c r="DU337" s="235"/>
      <c r="DV337" s="235"/>
      <c r="DW337" s="235"/>
      <c r="DX337" s="235"/>
      <c r="DY337" s="235"/>
      <c r="DZ337" s="235"/>
      <c r="EA337" s="235"/>
      <c r="EB337" s="235"/>
      <c r="EC337" s="235"/>
      <c r="ED337" s="235"/>
      <c r="EE337" s="235"/>
      <c r="EF337" s="235"/>
      <c r="EG337" s="235"/>
      <c r="EH337" s="235"/>
      <c r="EI337" s="235"/>
      <c r="EJ337" s="235"/>
      <c r="EK337" s="235"/>
      <c r="EL337" s="235"/>
      <c r="EM337" s="235"/>
      <c r="EN337" s="235"/>
      <c r="EO337" s="235"/>
      <c r="EP337" s="235"/>
      <c r="EQ337" s="235"/>
      <c r="ER337" s="235"/>
      <c r="ES337" s="235"/>
      <c r="ET337" s="235"/>
      <c r="EU337" s="235"/>
      <c r="EV337" s="235"/>
      <c r="EW337" s="235"/>
      <c r="EX337" s="235"/>
      <c r="EY337" s="235"/>
      <c r="EZ337" s="235"/>
      <c r="FA337" s="235"/>
      <c r="FB337" s="235"/>
      <c r="FC337" s="235"/>
      <c r="FD337" s="235"/>
      <c r="FE337" s="235"/>
      <c r="FF337" s="235"/>
      <c r="FG337" s="235"/>
      <c r="FH337" s="235"/>
      <c r="FI337" s="235"/>
      <c r="FJ337" s="235"/>
      <c r="FK337" s="235"/>
      <c r="FL337" s="235"/>
      <c r="FM337" s="235"/>
      <c r="FN337" s="235"/>
      <c r="FO337" s="235"/>
      <c r="FP337" s="235"/>
      <c r="FQ337" s="235"/>
      <c r="FR337" s="235"/>
      <c r="FS337" s="235"/>
      <c r="FT337" s="235"/>
      <c r="FU337" s="235"/>
      <c r="FV337" s="235"/>
      <c r="FW337" s="235"/>
      <c r="FX337" s="235"/>
      <c r="FY337" s="235"/>
      <c r="FZ337" s="235"/>
      <c r="GA337" s="235"/>
      <c r="GB337" s="235"/>
      <c r="GC337" s="235"/>
      <c r="GD337" s="235"/>
      <c r="GE337" s="235"/>
      <c r="GF337" s="235"/>
      <c r="GG337" s="235"/>
      <c r="GH337" s="235"/>
      <c r="GI337" s="235"/>
      <c r="GJ337" s="235"/>
      <c r="GK337" s="235"/>
      <c r="GL337" s="235"/>
      <c r="GM337" s="235"/>
      <c r="GN337" s="235"/>
      <c r="GO337" s="235"/>
      <c r="GP337" s="235"/>
      <c r="GQ337" s="235"/>
      <c r="GR337" s="235"/>
      <c r="GS337" s="235"/>
      <c r="GT337" s="235"/>
      <c r="GU337" s="235"/>
      <c r="GV337" s="235"/>
      <c r="GW337" s="235"/>
      <c r="GX337" s="235"/>
      <c r="GY337" s="235"/>
      <c r="GZ337" s="235"/>
      <c r="HA337" s="235"/>
      <c r="HB337" s="235"/>
      <c r="HC337" s="235"/>
      <c r="HD337" s="235"/>
      <c r="HE337" s="235"/>
      <c r="HF337" s="235"/>
      <c r="HG337" s="235"/>
      <c r="HH337" s="235"/>
      <c r="HI337" s="235"/>
      <c r="HJ337" s="235"/>
      <c r="HK337" s="235"/>
      <c r="HL337" s="235"/>
      <c r="HM337" s="235"/>
      <c r="HN337" s="235"/>
      <c r="HO337" s="235"/>
      <c r="HP337" s="235"/>
      <c r="HQ337" s="235"/>
      <c r="HR337" s="235"/>
      <c r="HS337" s="235"/>
      <c r="HT337" s="235"/>
      <c r="HU337" s="235"/>
      <c r="HV337" s="235"/>
      <c r="HW337" s="235"/>
      <c r="HX337" s="235"/>
      <c r="HY337" s="235"/>
      <c r="HZ337" s="235"/>
      <c r="IA337" s="235"/>
      <c r="IB337" s="235"/>
      <c r="IC337" s="235"/>
      <c r="ID337" s="235"/>
      <c r="IE337" s="235"/>
      <c r="IF337" s="235"/>
      <c r="IG337" s="235"/>
      <c r="IH337" s="235"/>
      <c r="II337" s="235"/>
      <c r="IJ337" s="235"/>
      <c r="IK337" s="235"/>
      <c r="IL337" s="235"/>
      <c r="IM337" s="235"/>
      <c r="IN337" s="235"/>
      <c r="IO337" s="235"/>
      <c r="IP337" s="235"/>
      <c r="IQ337" s="235"/>
      <c r="IR337" s="235"/>
    </row>
    <row r="338" spans="1:252" s="136" customFormat="1" x14ac:dyDescent="0.2">
      <c r="A338" s="178" t="s">
        <v>197</v>
      </c>
      <c r="B338" s="711">
        <f t="shared" ref="B338:AG338" si="812">B316-B327</f>
        <v>203949.89599999995</v>
      </c>
      <c r="C338" s="711">
        <f t="shared" si="812"/>
        <v>129148.05070000002</v>
      </c>
      <c r="D338" s="711">
        <f t="shared" si="812"/>
        <v>75334.488535894896</v>
      </c>
      <c r="E338" s="711">
        <f t="shared" si="812"/>
        <v>84212.873547394993</v>
      </c>
      <c r="F338" s="711">
        <f t="shared" si="812"/>
        <v>82844.491547394893</v>
      </c>
      <c r="G338" s="711">
        <f t="shared" si="812"/>
        <v>84335.967547394917</v>
      </c>
      <c r="H338" s="711">
        <f t="shared" si="812"/>
        <v>86175.563547394937</v>
      </c>
      <c r="I338" s="711">
        <f t="shared" si="812"/>
        <v>84459.061547394958</v>
      </c>
      <c r="J338" s="711">
        <f t="shared" si="812"/>
        <v>86298.657547394978</v>
      </c>
      <c r="K338" s="711">
        <f t="shared" si="812"/>
        <v>87790.133547395002</v>
      </c>
      <c r="L338" s="711">
        <f t="shared" si="812"/>
        <v>88836.889547395054</v>
      </c>
      <c r="M338" s="711">
        <f t="shared" si="812"/>
        <v>86675.667547394987</v>
      </c>
      <c r="N338" s="711">
        <f t="shared" si="812"/>
        <v>70237.776210980024</v>
      </c>
      <c r="O338" s="711">
        <f t="shared" si="812"/>
        <v>67874.53221097996</v>
      </c>
      <c r="P338" s="711">
        <f t="shared" si="812"/>
        <v>67251.888210979872</v>
      </c>
      <c r="Q338" s="711">
        <f t="shared" si="812"/>
        <v>69837.222210979904</v>
      </c>
      <c r="R338" s="711">
        <f t="shared" si="812"/>
        <v>69214.578210980049</v>
      </c>
      <c r="S338" s="711">
        <f t="shared" si="812"/>
        <v>71799.912210980081</v>
      </c>
      <c r="T338" s="711">
        <f t="shared" si="812"/>
        <v>71177.268210979993</v>
      </c>
      <c r="U338" s="711">
        <f t="shared" si="812"/>
        <v>73762.602210979909</v>
      </c>
      <c r="V338" s="711">
        <f t="shared" si="812"/>
        <v>73488.078210979933</v>
      </c>
      <c r="W338" s="711">
        <f t="shared" si="812"/>
        <v>76073.412210979965</v>
      </c>
      <c r="X338" s="711">
        <f t="shared" si="812"/>
        <v>75450.768210979877</v>
      </c>
      <c r="Y338" s="711">
        <f t="shared" si="812"/>
        <v>78036.102210979909</v>
      </c>
      <c r="Z338" s="711">
        <f t="shared" si="812"/>
        <v>77413.458210979938</v>
      </c>
      <c r="AA338" s="711">
        <f t="shared" si="812"/>
        <v>79998.792210979969</v>
      </c>
      <c r="AB338" s="711">
        <f t="shared" si="812"/>
        <v>81791.286210980034</v>
      </c>
      <c r="AC338" s="711">
        <f t="shared" si="812"/>
        <v>80723.922210979974</v>
      </c>
      <c r="AD338" s="711">
        <f t="shared" si="812"/>
        <v>82516.416210979922</v>
      </c>
      <c r="AE338" s="711">
        <f t="shared" si="812"/>
        <v>84308.91021097987</v>
      </c>
      <c r="AF338" s="711">
        <f t="shared" si="812"/>
        <v>84780.124210980139</v>
      </c>
      <c r="AG338" s="711">
        <f t="shared" si="812"/>
        <v>84903.218210980063</v>
      </c>
      <c r="AH338" s="711">
        <f>AH316-AH327</f>
        <v>88582.410210979986</v>
      </c>
      <c r="AI338" s="711">
        <f>AI316-AI327</f>
        <v>88705.504210979911</v>
      </c>
      <c r="AJ338" s="154"/>
      <c r="AK338" s="154"/>
      <c r="AL338" s="113"/>
      <c r="AM338" s="154"/>
      <c r="AN338" s="133"/>
      <c r="AO338" s="112"/>
      <c r="AP338" s="133"/>
      <c r="AQ338" s="112"/>
      <c r="AR338" s="133"/>
      <c r="AS338" s="154"/>
      <c r="AT338" s="154"/>
      <c r="AU338" s="154"/>
      <c r="AV338" s="154"/>
      <c r="AW338" s="154"/>
      <c r="AX338" s="154"/>
      <c r="AY338" s="154"/>
      <c r="AZ338" s="154"/>
      <c r="BA338" s="154"/>
      <c r="BB338" s="154"/>
      <c r="BC338" s="154"/>
      <c r="BD338" s="154"/>
      <c r="BE338" s="154"/>
      <c r="BF338" s="154"/>
      <c r="BG338" s="154"/>
      <c r="BH338" s="154"/>
      <c r="BI338" s="154"/>
      <c r="BJ338" s="154"/>
      <c r="BK338" s="154"/>
      <c r="BL338" s="154"/>
      <c r="BM338" s="154"/>
      <c r="BN338" s="154"/>
      <c r="BO338" s="154"/>
      <c r="BP338" s="154"/>
      <c r="BQ338" s="154"/>
      <c r="BR338" s="154"/>
      <c r="BS338" s="154"/>
      <c r="BT338" s="154"/>
      <c r="BU338" s="154"/>
      <c r="BV338" s="154"/>
      <c r="BW338" s="154"/>
      <c r="BX338" s="154"/>
      <c r="BY338" s="154"/>
      <c r="BZ338" s="154"/>
      <c r="CA338" s="154"/>
      <c r="CB338" s="154"/>
      <c r="CC338" s="154"/>
      <c r="CD338" s="154"/>
      <c r="CE338" s="154"/>
      <c r="CF338" s="154"/>
      <c r="CG338" s="154"/>
      <c r="CH338" s="154"/>
      <c r="CI338" s="154"/>
      <c r="CJ338" s="154"/>
      <c r="CK338" s="154"/>
      <c r="CL338" s="154"/>
      <c r="CM338" s="154"/>
      <c r="CN338" s="154"/>
      <c r="CO338" s="154"/>
      <c r="CP338" s="154"/>
      <c r="CQ338" s="154"/>
      <c r="CR338" s="154"/>
      <c r="CS338" s="154"/>
      <c r="CT338" s="154"/>
      <c r="CU338" s="154"/>
      <c r="CV338" s="154"/>
      <c r="CW338" s="154"/>
      <c r="CX338" s="154"/>
      <c r="CY338" s="154"/>
      <c r="CZ338" s="154"/>
      <c r="DA338" s="154"/>
      <c r="DB338" s="154"/>
      <c r="DC338" s="154"/>
      <c r="DD338" s="154"/>
      <c r="DE338" s="154"/>
      <c r="DF338" s="154"/>
      <c r="DG338" s="154"/>
      <c r="DH338" s="154"/>
      <c r="DI338" s="154"/>
      <c r="DJ338" s="154"/>
      <c r="DK338" s="154"/>
      <c r="DL338" s="154"/>
      <c r="DM338" s="154"/>
      <c r="DN338" s="154"/>
      <c r="DO338" s="154"/>
      <c r="DP338" s="154"/>
      <c r="DQ338" s="154"/>
      <c r="DR338" s="154"/>
      <c r="DS338" s="154"/>
      <c r="DT338" s="154"/>
      <c r="DU338" s="154"/>
      <c r="DV338" s="154"/>
      <c r="DW338" s="154"/>
      <c r="DX338" s="154"/>
      <c r="DY338" s="154"/>
      <c r="DZ338" s="154"/>
      <c r="EA338" s="154"/>
      <c r="EB338" s="154"/>
      <c r="EC338" s="154"/>
      <c r="ED338" s="154"/>
      <c r="EE338" s="154"/>
      <c r="EF338" s="154"/>
      <c r="EG338" s="154"/>
      <c r="EH338" s="154"/>
      <c r="EI338" s="154"/>
      <c r="EJ338" s="154"/>
      <c r="EK338" s="154"/>
      <c r="EL338" s="154"/>
      <c r="EM338" s="154"/>
      <c r="EN338" s="154"/>
      <c r="EO338" s="154"/>
      <c r="EP338" s="154"/>
      <c r="EQ338" s="154"/>
      <c r="ER338" s="154"/>
      <c r="ES338" s="154"/>
      <c r="ET338" s="154"/>
      <c r="EU338" s="154"/>
      <c r="EV338" s="154"/>
      <c r="EW338" s="154"/>
      <c r="EX338" s="154"/>
      <c r="EY338" s="154"/>
      <c r="EZ338" s="154"/>
      <c r="FA338" s="154"/>
      <c r="FB338" s="154"/>
      <c r="FC338" s="154"/>
      <c r="FD338" s="154"/>
      <c r="FE338" s="154"/>
      <c r="FF338" s="154"/>
      <c r="FG338" s="154"/>
      <c r="FH338" s="154"/>
      <c r="FI338" s="154"/>
      <c r="FJ338" s="154"/>
      <c r="FK338" s="154"/>
      <c r="FL338" s="154"/>
      <c r="FM338" s="154"/>
      <c r="FN338" s="154"/>
      <c r="FO338" s="154"/>
      <c r="FP338" s="154"/>
      <c r="FQ338" s="154"/>
      <c r="FR338" s="154"/>
      <c r="FS338" s="154"/>
      <c r="FT338" s="154"/>
      <c r="FU338" s="154"/>
      <c r="FV338" s="154"/>
      <c r="FW338" s="154"/>
      <c r="FX338" s="154"/>
      <c r="FY338" s="154"/>
      <c r="FZ338" s="154"/>
      <c r="GA338" s="154"/>
      <c r="GB338" s="154"/>
      <c r="GC338" s="154"/>
      <c r="GD338" s="154"/>
      <c r="GE338" s="154"/>
      <c r="GF338" s="154"/>
      <c r="GG338" s="154"/>
      <c r="GH338" s="154"/>
      <c r="GI338" s="154"/>
      <c r="GJ338" s="154"/>
      <c r="GK338" s="154"/>
      <c r="GL338" s="154"/>
      <c r="GM338" s="154"/>
      <c r="GN338" s="154"/>
      <c r="GO338" s="154"/>
      <c r="GP338" s="154"/>
      <c r="GQ338" s="154"/>
      <c r="GR338" s="154"/>
      <c r="GS338" s="154"/>
      <c r="GT338" s="154"/>
      <c r="GU338" s="154"/>
      <c r="GV338" s="154"/>
      <c r="GW338" s="154"/>
      <c r="GX338" s="154"/>
      <c r="GY338" s="154"/>
      <c r="GZ338" s="154"/>
      <c r="HA338" s="154"/>
      <c r="HB338" s="154"/>
      <c r="HC338" s="154"/>
      <c r="HD338" s="154"/>
      <c r="HE338" s="154"/>
      <c r="HF338" s="154"/>
      <c r="HG338" s="154"/>
      <c r="HH338" s="154"/>
      <c r="HI338" s="154"/>
      <c r="HJ338" s="154"/>
      <c r="HK338" s="154"/>
      <c r="HL338" s="154"/>
      <c r="HM338" s="154"/>
      <c r="HN338" s="154"/>
      <c r="HO338" s="154"/>
      <c r="HP338" s="154"/>
      <c r="HQ338" s="154"/>
      <c r="HR338" s="154"/>
      <c r="HS338" s="154"/>
      <c r="HT338" s="154"/>
      <c r="HU338" s="154"/>
      <c r="HV338" s="154"/>
      <c r="HW338" s="154"/>
      <c r="HX338" s="154"/>
      <c r="HY338" s="154"/>
      <c r="HZ338" s="154"/>
      <c r="IA338" s="154"/>
      <c r="IB338" s="154"/>
      <c r="IC338" s="154"/>
      <c r="ID338" s="154"/>
      <c r="IE338" s="154"/>
      <c r="IF338" s="154"/>
      <c r="IG338" s="154"/>
      <c r="IH338" s="154"/>
      <c r="II338" s="154"/>
      <c r="IJ338" s="154"/>
      <c r="IK338" s="154"/>
      <c r="IL338" s="154"/>
      <c r="IM338" s="154"/>
      <c r="IN338" s="154"/>
      <c r="IO338" s="154"/>
      <c r="IP338" s="154"/>
      <c r="IQ338" s="154"/>
      <c r="IR338" s="154"/>
    </row>
    <row r="339" spans="1:252" x14ac:dyDescent="0.2">
      <c r="A339" s="190" t="s">
        <v>198</v>
      </c>
      <c r="B339" s="709">
        <f t="shared" ref="B339:AH339" si="813">B307</f>
        <v>0</v>
      </c>
      <c r="C339" s="737">
        <f t="shared" si="813"/>
        <v>0</v>
      </c>
      <c r="D339" s="737">
        <f t="shared" si="813"/>
        <v>2000</v>
      </c>
      <c r="E339" s="737">
        <f t="shared" si="813"/>
        <v>2000</v>
      </c>
      <c r="F339" s="737">
        <f t="shared" si="813"/>
        <v>1800</v>
      </c>
      <c r="G339" s="737">
        <f t="shared" si="813"/>
        <v>1600</v>
      </c>
      <c r="H339" s="737">
        <f t="shared" si="813"/>
        <v>1400</v>
      </c>
      <c r="I339" s="737">
        <f t="shared" si="813"/>
        <v>1200</v>
      </c>
      <c r="J339" s="737">
        <f t="shared" si="813"/>
        <v>1000</v>
      </c>
      <c r="K339" s="737">
        <f t="shared" si="813"/>
        <v>800</v>
      </c>
      <c r="L339" s="737">
        <f t="shared" si="813"/>
        <v>600</v>
      </c>
      <c r="M339" s="737">
        <f t="shared" si="813"/>
        <v>400</v>
      </c>
      <c r="N339" s="737">
        <f t="shared" si="813"/>
        <v>200</v>
      </c>
      <c r="O339" s="737">
        <f t="shared" si="813"/>
        <v>0</v>
      </c>
      <c r="P339" s="737">
        <f t="shared" si="813"/>
        <v>0</v>
      </c>
      <c r="Q339" s="737">
        <f t="shared" si="813"/>
        <v>0</v>
      </c>
      <c r="R339" s="737">
        <f t="shared" si="813"/>
        <v>0</v>
      </c>
      <c r="S339" s="737">
        <f t="shared" si="813"/>
        <v>0</v>
      </c>
      <c r="T339" s="737">
        <f t="shared" si="813"/>
        <v>0</v>
      </c>
      <c r="U339" s="737">
        <f t="shared" si="813"/>
        <v>0</v>
      </c>
      <c r="V339" s="737">
        <f t="shared" si="813"/>
        <v>0</v>
      </c>
      <c r="W339" s="737">
        <f t="shared" si="813"/>
        <v>0</v>
      </c>
      <c r="X339" s="737">
        <f t="shared" si="813"/>
        <v>0</v>
      </c>
      <c r="Y339" s="737">
        <f t="shared" si="813"/>
        <v>0</v>
      </c>
      <c r="Z339" s="737">
        <f t="shared" si="813"/>
        <v>0</v>
      </c>
      <c r="AA339" s="737">
        <f t="shared" si="813"/>
        <v>0</v>
      </c>
      <c r="AB339" s="737">
        <f t="shared" si="813"/>
        <v>0</v>
      </c>
      <c r="AC339" s="737">
        <f t="shared" si="813"/>
        <v>0</v>
      </c>
      <c r="AD339" s="737">
        <f t="shared" si="813"/>
        <v>0</v>
      </c>
      <c r="AE339" s="737">
        <f t="shared" si="813"/>
        <v>0</v>
      </c>
      <c r="AF339" s="737">
        <f t="shared" si="813"/>
        <v>0</v>
      </c>
      <c r="AG339" s="737">
        <f t="shared" si="813"/>
        <v>0</v>
      </c>
      <c r="AH339" s="737">
        <f t="shared" si="813"/>
        <v>0</v>
      </c>
      <c r="AI339" s="737">
        <f>AI307</f>
        <v>0</v>
      </c>
      <c r="AJ339" s="157"/>
      <c r="AK339" s="157"/>
      <c r="AL339" s="113"/>
      <c r="AM339" s="157"/>
      <c r="AN339" s="133"/>
      <c r="AP339" s="133"/>
      <c r="AR339" s="133"/>
      <c r="AS339" s="157"/>
      <c r="AT339" s="157"/>
      <c r="AU339" s="157"/>
      <c r="AV339" s="157"/>
      <c r="AW339" s="157"/>
      <c r="AX339" s="157"/>
      <c r="AY339" s="157"/>
      <c r="AZ339" s="157"/>
      <c r="BA339" s="157"/>
      <c r="BB339" s="157"/>
      <c r="BC339" s="157"/>
      <c r="BD339" s="157"/>
      <c r="BE339" s="157"/>
      <c r="BF339" s="157"/>
      <c r="BG339" s="157"/>
      <c r="BH339" s="157"/>
      <c r="BI339" s="157"/>
      <c r="BJ339" s="157"/>
      <c r="BK339" s="157"/>
      <c r="BL339" s="157"/>
      <c r="BM339" s="157"/>
      <c r="BN339" s="157"/>
      <c r="BO339" s="157"/>
      <c r="BP339" s="157"/>
      <c r="BQ339" s="157"/>
      <c r="BR339" s="157"/>
      <c r="BS339" s="157"/>
      <c r="BT339" s="157"/>
      <c r="BU339" s="157"/>
      <c r="BV339" s="157"/>
      <c r="BW339" s="157"/>
      <c r="BX339" s="157"/>
      <c r="BY339" s="157"/>
      <c r="BZ339" s="157"/>
      <c r="CA339" s="157"/>
      <c r="CB339" s="157"/>
      <c r="CC339" s="157"/>
      <c r="CD339" s="157"/>
      <c r="CE339" s="157"/>
      <c r="CF339" s="157"/>
      <c r="CG339" s="157"/>
      <c r="CH339" s="157"/>
      <c r="CI339" s="157"/>
      <c r="CJ339" s="157"/>
      <c r="CK339" s="157"/>
      <c r="CL339" s="157"/>
      <c r="CM339" s="157"/>
      <c r="CN339" s="157"/>
      <c r="CO339" s="157"/>
      <c r="CP339" s="157"/>
      <c r="CQ339" s="157"/>
      <c r="CR339" s="157"/>
      <c r="CS339" s="157"/>
      <c r="CT339" s="157"/>
      <c r="CU339" s="157"/>
      <c r="CV339" s="157"/>
      <c r="CW339" s="157"/>
      <c r="CX339" s="157"/>
      <c r="CY339" s="157"/>
      <c r="CZ339" s="157"/>
      <c r="DA339" s="157"/>
      <c r="DB339" s="157"/>
      <c r="DC339" s="157"/>
      <c r="DD339" s="157"/>
      <c r="DE339" s="157"/>
      <c r="DF339" s="157"/>
      <c r="DG339" s="157"/>
      <c r="DH339" s="157"/>
      <c r="DI339" s="157"/>
      <c r="DJ339" s="157"/>
      <c r="DK339" s="157"/>
      <c r="DL339" s="157"/>
      <c r="DM339" s="157"/>
      <c r="DN339" s="157"/>
      <c r="DO339" s="157"/>
      <c r="DP339" s="157"/>
      <c r="DQ339" s="157"/>
      <c r="DR339" s="157"/>
      <c r="DS339" s="157"/>
      <c r="DT339" s="157"/>
      <c r="DU339" s="157"/>
      <c r="DV339" s="157"/>
      <c r="DW339" s="157"/>
      <c r="DX339" s="157"/>
      <c r="DY339" s="157"/>
      <c r="DZ339" s="157"/>
      <c r="EA339" s="157"/>
      <c r="EB339" s="157"/>
      <c r="EC339" s="157"/>
      <c r="ED339" s="157"/>
      <c r="EE339" s="157"/>
      <c r="EF339" s="157"/>
      <c r="EG339" s="157"/>
      <c r="EH339" s="157"/>
      <c r="EI339" s="157"/>
      <c r="EJ339" s="157"/>
      <c r="EK339" s="157"/>
      <c r="EL339" s="157"/>
      <c r="EM339" s="157"/>
      <c r="EN339" s="157"/>
      <c r="EO339" s="157"/>
      <c r="EP339" s="157"/>
      <c r="EQ339" s="157"/>
      <c r="ER339" s="157"/>
      <c r="ES339" s="157"/>
      <c r="ET339" s="157"/>
      <c r="EU339" s="157"/>
      <c r="EV339" s="157"/>
      <c r="EW339" s="157"/>
      <c r="EX339" s="157"/>
      <c r="EY339" s="157"/>
      <c r="EZ339" s="157"/>
      <c r="FA339" s="157"/>
      <c r="FB339" s="157"/>
      <c r="FC339" s="157"/>
      <c r="FD339" s="157"/>
      <c r="FE339" s="157"/>
      <c r="FF339" s="157"/>
      <c r="FG339" s="157"/>
      <c r="FH339" s="157"/>
      <c r="FI339" s="157"/>
      <c r="FJ339" s="157"/>
      <c r="FK339" s="157"/>
      <c r="FL339" s="157"/>
      <c r="FM339" s="157"/>
      <c r="FN339" s="157"/>
      <c r="FO339" s="157"/>
      <c r="FP339" s="157"/>
      <c r="FQ339" s="157"/>
      <c r="FR339" s="157"/>
      <c r="FS339" s="157"/>
      <c r="FT339" s="157"/>
      <c r="FU339" s="157"/>
      <c r="FV339" s="157"/>
      <c r="FW339" s="157"/>
      <c r="FX339" s="157"/>
      <c r="FY339" s="157"/>
      <c r="FZ339" s="157"/>
      <c r="GA339" s="157"/>
      <c r="GB339" s="157"/>
      <c r="GC339" s="157"/>
      <c r="GD339" s="157"/>
      <c r="GE339" s="157"/>
      <c r="GF339" s="157"/>
      <c r="GG339" s="157"/>
      <c r="GH339" s="157"/>
      <c r="GI339" s="157"/>
      <c r="GJ339" s="157"/>
      <c r="GK339" s="157"/>
      <c r="GL339" s="157"/>
      <c r="GM339" s="157"/>
      <c r="GN339" s="157"/>
      <c r="GO339" s="157"/>
      <c r="GP339" s="157"/>
      <c r="GQ339" s="157"/>
      <c r="GR339" s="157"/>
      <c r="GS339" s="157"/>
      <c r="GT339" s="157"/>
      <c r="GU339" s="157"/>
      <c r="GV339" s="157"/>
      <c r="GW339" s="157"/>
      <c r="GX339" s="157"/>
      <c r="GY339" s="157"/>
      <c r="GZ339" s="157"/>
      <c r="HA339" s="157"/>
      <c r="HB339" s="157"/>
      <c r="HC339" s="157"/>
      <c r="HD339" s="157"/>
      <c r="HE339" s="157"/>
      <c r="HF339" s="157"/>
      <c r="HG339" s="157"/>
      <c r="HH339" s="157"/>
      <c r="HI339" s="157"/>
      <c r="HJ339" s="157"/>
      <c r="HK339" s="157"/>
      <c r="HL339" s="157"/>
      <c r="HM339" s="157"/>
      <c r="HN339" s="157"/>
      <c r="HO339" s="157"/>
      <c r="HP339" s="157"/>
      <c r="HQ339" s="157"/>
      <c r="HR339" s="157"/>
      <c r="HS339" s="157"/>
      <c r="HT339" s="157"/>
      <c r="HU339" s="157"/>
      <c r="HV339" s="157"/>
      <c r="HW339" s="157"/>
      <c r="HX339" s="157"/>
      <c r="HY339" s="157"/>
      <c r="HZ339" s="157"/>
      <c r="IA339" s="157"/>
      <c r="IB339" s="157"/>
      <c r="IC339" s="157"/>
      <c r="ID339" s="157"/>
      <c r="IE339" s="157"/>
      <c r="IF339" s="157"/>
      <c r="IG339" s="157"/>
      <c r="IH339" s="157"/>
      <c r="II339" s="157"/>
      <c r="IJ339" s="157"/>
      <c r="IK339" s="157"/>
      <c r="IL339" s="157"/>
      <c r="IM339" s="157"/>
      <c r="IN339" s="157"/>
      <c r="IO339" s="157"/>
      <c r="IP339" s="157"/>
      <c r="IQ339" s="157"/>
      <c r="IR339" s="157"/>
    </row>
    <row r="340" spans="1:252" s="136" customFormat="1" x14ac:dyDescent="0.2">
      <c r="A340" s="147" t="s">
        <v>199</v>
      </c>
      <c r="B340" s="730">
        <f>Aprekini!B121+Aprekini!B127+Aprekini!B133+Aprekini!B19+Aprekini!B20+Aprekini!B21+Aprekini!B22+Aprekini!B24+Aprekini!B25+Aprekini!B26+Aprekini!B27</f>
        <v>20781</v>
      </c>
      <c r="C340" s="730">
        <f>Aprekini!C121+Aprekini!C127+Aprekini!C133+Aprekini!C19+Aprekini!C20+Aprekini!C21+Aprekini!C22+Aprekini!C24+Aprekini!C25+Aprekini!C26+Aprekini!C27</f>
        <v>20781</v>
      </c>
      <c r="D340" s="730">
        <f>Aprekini!D121+Aprekini!D127+Aprekini!D133+Aprekini!D19+Aprekini!D20+Aprekini!D21+Aprekini!D22+Aprekini!D24+Aprekini!D25+Aprekini!D26+Aprekini!D27</f>
        <v>35055.5</v>
      </c>
      <c r="E340" s="730">
        <f>Aprekini!E121+Aprekini!E127+Aprekini!E133+Aprekini!E19+Aprekini!E20+Aprekini!E21+Aprekini!E22+Aprekini!E24+Aprekini!E25+Aprekini!E26+Aprekini!E27</f>
        <v>37231.5</v>
      </c>
      <c r="F340" s="730">
        <f>Aprekini!F121+Aprekini!F127+Aprekini!F133+Aprekini!F19+Aprekini!F20+Aprekini!F21+Aprekini!F22+Aprekini!F24+Aprekini!F25+Aprekini!F26+Aprekini!F27</f>
        <v>37231.5</v>
      </c>
      <c r="G340" s="730">
        <f>Aprekini!G121+Aprekini!G127+Aprekini!G133+Aprekini!G19+Aprekini!G20+Aprekini!G21+Aprekini!G22+Aprekini!G24+Aprekini!G25+Aprekini!G26+Aprekini!G27</f>
        <v>37231.5</v>
      </c>
      <c r="H340" s="730">
        <f>Aprekini!H121+Aprekini!H127+Aprekini!H133+Aprekini!H19+Aprekini!H20+Aprekini!H21+Aprekini!H22+Aprekini!H24+Aprekini!H25+Aprekini!H26+Aprekini!H27</f>
        <v>37231.5</v>
      </c>
      <c r="I340" s="730">
        <f>Aprekini!I121+Aprekini!I127+Aprekini!I133+Aprekini!I19+Aprekini!I20+Aprekini!I21+Aprekini!I22+Aprekini!I24+Aprekini!I25+Aprekini!I26+Aprekini!I27</f>
        <v>37231.5</v>
      </c>
      <c r="J340" s="730">
        <f>Aprekini!J121+Aprekini!J127+Aprekini!J133+Aprekini!J19+Aprekini!J20+Aprekini!J21+Aprekini!J22+Aprekini!J24+Aprekini!J25+Aprekini!J26+Aprekini!J27</f>
        <v>37231.5</v>
      </c>
      <c r="K340" s="730">
        <f>Aprekini!K121+Aprekini!K127+Aprekini!K133+Aprekini!K19+Aprekini!K20+Aprekini!K21+Aprekini!K22+Aprekini!K24+Aprekini!K25+Aprekini!K26+Aprekini!K27</f>
        <v>37231.5</v>
      </c>
      <c r="L340" s="730">
        <f>Aprekini!L121+Aprekini!L127+Aprekini!L133+Aprekini!L19+Aprekini!L20+Aprekini!L21+Aprekini!L22+Aprekini!L24+Aprekini!L25+Aprekini!L26+Aprekini!L27</f>
        <v>37231.5</v>
      </c>
      <c r="M340" s="730">
        <f>Aprekini!M121+Aprekini!M127+Aprekini!M133+Aprekini!M19+Aprekini!M20+Aprekini!M21+Aprekini!M22+Aprekini!M24+Aprekini!M25+Aprekini!M26+Aprekini!M27</f>
        <v>37231.5</v>
      </c>
      <c r="N340" s="730">
        <f>Aprekini!N121+Aprekini!N127+Aprekini!N133+Aprekini!N19+Aprekini!N20+Aprekini!N21+Aprekini!N22+Aprekini!N24+Aprekini!N25+Aprekini!N26+Aprekini!N27</f>
        <v>21243</v>
      </c>
      <c r="O340" s="730">
        <f>Aprekini!O121+Aprekini!O127+Aprekini!O133+Aprekini!O19+Aprekini!O20+Aprekini!O21+Aprekini!O22+Aprekini!O24+Aprekini!O25+Aprekini!O26+Aprekini!O27</f>
        <v>21243</v>
      </c>
      <c r="P340" s="730">
        <f>Aprekini!P121+Aprekini!P127+Aprekini!P133+Aprekini!P19+Aprekini!P20+Aprekini!P21+Aprekini!P22+Aprekini!P24+Aprekini!P25+Aprekini!P26+Aprekini!P27</f>
        <v>21243</v>
      </c>
      <c r="Q340" s="730">
        <f>Aprekini!Q121+Aprekini!Q127+Aprekini!Q133+Aprekini!Q19+Aprekini!Q20+Aprekini!Q21+Aprekini!Q22+Aprekini!Q24+Aprekini!Q25+Aprekini!Q26+Aprekini!Q27</f>
        <v>21243</v>
      </c>
      <c r="R340" s="730">
        <f>Aprekini!R121+Aprekini!R127+Aprekini!R133+Aprekini!R19+Aprekini!R20+Aprekini!R21+Aprekini!R22+Aprekini!R24+Aprekini!R25+Aprekini!R26+Aprekini!R27</f>
        <v>21243</v>
      </c>
      <c r="S340" s="730">
        <f>Aprekini!S121+Aprekini!S127+Aprekini!S133+Aprekini!S19+Aprekini!S20+Aprekini!S21+Aprekini!S22+Aprekini!S24+Aprekini!S25+Aprekini!S26+Aprekini!S27</f>
        <v>21243</v>
      </c>
      <c r="T340" s="730">
        <f>Aprekini!T121+Aprekini!T127+Aprekini!T133+Aprekini!T19+Aprekini!T20+Aprekini!T21+Aprekini!T22+Aprekini!T24+Aprekini!T25+Aprekini!T26+Aprekini!T27</f>
        <v>21243</v>
      </c>
      <c r="U340" s="730">
        <f>Aprekini!U121+Aprekini!U127+Aprekini!U133+Aprekini!U19+Aprekini!U20+Aprekini!U21+Aprekini!U22+Aprekini!U24+Aprekini!U25+Aprekini!U26+Aprekini!U27</f>
        <v>21243</v>
      </c>
      <c r="V340" s="730">
        <f>Aprekini!V121+Aprekini!V127+Aprekini!V133+Aprekini!V19+Aprekini!V20+Aprekini!V21+Aprekini!V22+Aprekini!V24+Aprekini!V25+Aprekini!V26+Aprekini!V27</f>
        <v>21243</v>
      </c>
      <c r="W340" s="730">
        <f>Aprekini!W121+Aprekini!W127+Aprekini!W133+Aprekini!W19+Aprekini!W20+Aprekini!W21+Aprekini!W22+Aprekini!W24+Aprekini!W25+Aprekini!W26+Aprekini!W27</f>
        <v>21243</v>
      </c>
      <c r="X340" s="730">
        <f>Aprekini!X121+Aprekini!X127+Aprekini!X133+Aprekini!X19+Aprekini!X20+Aprekini!X21+Aprekini!X22+Aprekini!X24+Aprekini!X25+Aprekini!X26+Aprekini!X27</f>
        <v>21243</v>
      </c>
      <c r="Y340" s="730">
        <f>Aprekini!Y121+Aprekini!Y127+Aprekini!Y133+Aprekini!Y19+Aprekini!Y20+Aprekini!Y21+Aprekini!Y22+Aprekini!Y24+Aprekini!Y25+Aprekini!Y26+Aprekini!Y27</f>
        <v>21243</v>
      </c>
      <c r="Z340" s="730">
        <f>Aprekini!Z121+Aprekini!Z127+Aprekini!Z133+Aprekini!Z19+Aprekini!Z20+Aprekini!Z21+Aprekini!Z22+Aprekini!Z24+Aprekini!Z25+Aprekini!Z26+Aprekini!Z27</f>
        <v>21243</v>
      </c>
      <c r="AA340" s="730">
        <f>Aprekini!AA121+Aprekini!AA127+Aprekini!AA133+Aprekini!AA19+Aprekini!AA20+Aprekini!AA21+Aprekini!AA22+Aprekini!AA24+Aprekini!AA25+Aprekini!AA26+Aprekini!AA27</f>
        <v>21243</v>
      </c>
      <c r="AB340" s="730">
        <f>Aprekini!AB121+Aprekini!AB127+Aprekini!AB133+Aprekini!AB19+Aprekini!AB20+Aprekini!AB21+Aprekini!AB22+Aprekini!AB24+Aprekini!AB25+Aprekini!AB26+Aprekini!AB27</f>
        <v>21243</v>
      </c>
      <c r="AC340" s="730">
        <f>Aprekini!AC121+Aprekini!AC127+Aprekini!AC133+Aprekini!AC19+Aprekini!AC20+Aprekini!AC21+Aprekini!AC22+Aprekini!AC24+Aprekini!AC25+Aprekini!AC26+Aprekini!AC27</f>
        <v>21243</v>
      </c>
      <c r="AD340" s="730">
        <f>Aprekini!AD121+Aprekini!AD127+Aprekini!AD133+Aprekini!AD19+Aprekini!AD20+Aprekini!AD21+Aprekini!AD22+Aprekini!AD24+Aprekini!AD25+Aprekini!AD26+Aprekini!AD27</f>
        <v>21243</v>
      </c>
      <c r="AE340" s="730">
        <f>Aprekini!AE121+Aprekini!AE127+Aprekini!AE133+Aprekini!AE19+Aprekini!AE20+Aprekini!AE21+Aprekini!AE22+Aprekini!AE24+Aprekini!AE25+Aprekini!AE26+Aprekini!AE27</f>
        <v>21243</v>
      </c>
      <c r="AF340" s="730">
        <f>Aprekini!AF121+Aprekini!AF127+Aprekini!AF133+Aprekini!AF19+Aprekini!AF20+Aprekini!AF21+Aprekini!AF22+Aprekini!AF24+Aprekini!AF25+Aprekini!AF26+Aprekini!AF27</f>
        <v>21243</v>
      </c>
      <c r="AG340" s="730">
        <f>Aprekini!AG121+Aprekini!AG127+Aprekini!AG133+Aprekini!AG19+Aprekini!AG20+Aprekini!AG21+Aprekini!AG22+Aprekini!AG24+Aprekini!AG25+Aprekini!AG26+Aprekini!AG27</f>
        <v>21243</v>
      </c>
      <c r="AH340" s="730">
        <f>Aprekini!AH121+Aprekini!AH127+Aprekini!AH133+Aprekini!AH19+Aprekini!AH20+Aprekini!AH21+Aprekini!AH22+Aprekini!AH24+Aprekini!AH25+Aprekini!AH26+Aprekini!AH27</f>
        <v>21243</v>
      </c>
      <c r="AI340" s="730">
        <f>Aprekini!AI121+Aprekini!AI127+Aprekini!AI133+Aprekini!AI19+Aprekini!AI20+Aprekini!AI21+Aprekini!AI22+Aprekini!AI24+Aprekini!AI25+Aprekini!AI26+Aprekini!AI27</f>
        <v>21243</v>
      </c>
      <c r="AJ340" s="154"/>
      <c r="AK340" s="154"/>
      <c r="AL340" s="113"/>
      <c r="AM340" s="154"/>
      <c r="AN340" s="133"/>
      <c r="AO340" s="112"/>
      <c r="AP340" s="133"/>
      <c r="AQ340" s="112"/>
      <c r="AR340" s="133"/>
      <c r="AS340" s="154"/>
      <c r="AT340" s="154"/>
      <c r="AU340" s="154"/>
      <c r="AV340" s="154"/>
      <c r="AW340" s="154"/>
      <c r="AX340" s="154"/>
      <c r="AY340" s="154"/>
      <c r="AZ340" s="154"/>
      <c r="BA340" s="154"/>
      <c r="BB340" s="154"/>
      <c r="BC340" s="154"/>
      <c r="BD340" s="154"/>
      <c r="BE340" s="154"/>
      <c r="BF340" s="154"/>
      <c r="BG340" s="154"/>
      <c r="BH340" s="154"/>
      <c r="BI340" s="154"/>
      <c r="BJ340" s="154"/>
      <c r="BK340" s="154"/>
      <c r="BL340" s="154"/>
      <c r="BM340" s="154"/>
      <c r="BN340" s="154"/>
      <c r="BO340" s="154"/>
      <c r="BP340" s="154"/>
      <c r="BQ340" s="154"/>
      <c r="BR340" s="154"/>
      <c r="BS340" s="154"/>
      <c r="BT340" s="154"/>
      <c r="BU340" s="154"/>
      <c r="BV340" s="154"/>
      <c r="BW340" s="154"/>
      <c r="BX340" s="154"/>
      <c r="BY340" s="154"/>
      <c r="BZ340" s="154"/>
      <c r="CA340" s="154"/>
      <c r="CB340" s="154"/>
      <c r="CC340" s="154"/>
      <c r="CD340" s="154"/>
      <c r="CE340" s="154"/>
      <c r="CF340" s="154"/>
      <c r="CG340" s="154"/>
      <c r="CH340" s="154"/>
      <c r="CI340" s="154"/>
      <c r="CJ340" s="154"/>
      <c r="CK340" s="154"/>
      <c r="CL340" s="154"/>
      <c r="CM340" s="154"/>
      <c r="CN340" s="154"/>
      <c r="CO340" s="154"/>
      <c r="CP340" s="154"/>
      <c r="CQ340" s="154"/>
      <c r="CR340" s="154"/>
      <c r="CS340" s="154"/>
      <c r="CT340" s="154"/>
      <c r="CU340" s="154"/>
      <c r="CV340" s="154"/>
      <c r="CW340" s="154"/>
      <c r="CX340" s="154"/>
      <c r="CY340" s="154"/>
      <c r="CZ340" s="154"/>
      <c r="DA340" s="154"/>
      <c r="DB340" s="154"/>
      <c r="DC340" s="154"/>
      <c r="DD340" s="154"/>
      <c r="DE340" s="154"/>
      <c r="DF340" s="154"/>
      <c r="DG340" s="154"/>
      <c r="DH340" s="154"/>
      <c r="DI340" s="154"/>
      <c r="DJ340" s="154"/>
      <c r="DK340" s="154"/>
      <c r="DL340" s="154"/>
      <c r="DM340" s="154"/>
      <c r="DN340" s="154"/>
      <c r="DO340" s="154"/>
      <c r="DP340" s="154"/>
      <c r="DQ340" s="154"/>
      <c r="DR340" s="154"/>
      <c r="DS340" s="154"/>
      <c r="DT340" s="154"/>
      <c r="DU340" s="154"/>
      <c r="DV340" s="154"/>
      <c r="DW340" s="154"/>
      <c r="DX340" s="154"/>
      <c r="DY340" s="154"/>
      <c r="DZ340" s="154"/>
      <c r="EA340" s="154"/>
      <c r="EB340" s="154"/>
      <c r="EC340" s="154"/>
      <c r="ED340" s="154"/>
      <c r="EE340" s="154"/>
      <c r="EF340" s="154"/>
      <c r="EG340" s="154"/>
      <c r="EH340" s="154"/>
      <c r="EI340" s="154"/>
      <c r="EJ340" s="154"/>
      <c r="EK340" s="154"/>
      <c r="EL340" s="154"/>
      <c r="EM340" s="154"/>
      <c r="EN340" s="154"/>
      <c r="EO340" s="154"/>
      <c r="EP340" s="154"/>
      <c r="EQ340" s="154"/>
      <c r="ER340" s="154"/>
      <c r="ES340" s="154"/>
      <c r="ET340" s="154"/>
      <c r="EU340" s="154"/>
      <c r="EV340" s="154"/>
      <c r="EW340" s="154"/>
      <c r="EX340" s="154"/>
      <c r="EY340" s="154"/>
      <c r="EZ340" s="154"/>
      <c r="FA340" s="154"/>
      <c r="FB340" s="154"/>
      <c r="FC340" s="154"/>
      <c r="FD340" s="154"/>
      <c r="FE340" s="154"/>
      <c r="FF340" s="154"/>
      <c r="FG340" s="154"/>
      <c r="FH340" s="154"/>
      <c r="FI340" s="154"/>
      <c r="FJ340" s="154"/>
      <c r="FK340" s="154"/>
      <c r="FL340" s="154"/>
      <c r="FM340" s="154"/>
      <c r="FN340" s="154"/>
      <c r="FO340" s="154"/>
      <c r="FP340" s="154"/>
      <c r="FQ340" s="154"/>
      <c r="FR340" s="154"/>
      <c r="FS340" s="154"/>
      <c r="FT340" s="154"/>
      <c r="FU340" s="154"/>
      <c r="FV340" s="154"/>
      <c r="FW340" s="154"/>
      <c r="FX340" s="154"/>
      <c r="FY340" s="154"/>
      <c r="FZ340" s="154"/>
      <c r="GA340" s="154"/>
      <c r="GB340" s="154"/>
      <c r="GC340" s="154"/>
      <c r="GD340" s="154"/>
      <c r="GE340" s="154"/>
      <c r="GF340" s="154"/>
      <c r="GG340" s="154"/>
      <c r="GH340" s="154"/>
      <c r="GI340" s="154"/>
      <c r="GJ340" s="154"/>
      <c r="GK340" s="154"/>
      <c r="GL340" s="154"/>
      <c r="GM340" s="154"/>
      <c r="GN340" s="154"/>
      <c r="GO340" s="154"/>
      <c r="GP340" s="154"/>
      <c r="GQ340" s="154"/>
      <c r="GR340" s="154"/>
      <c r="GS340" s="154"/>
      <c r="GT340" s="154"/>
      <c r="GU340" s="154"/>
      <c r="GV340" s="154"/>
      <c r="GW340" s="154"/>
      <c r="GX340" s="154"/>
      <c r="GY340" s="154"/>
      <c r="GZ340" s="154"/>
      <c r="HA340" s="154"/>
      <c r="HB340" s="154"/>
      <c r="HC340" s="154"/>
      <c r="HD340" s="154"/>
      <c r="HE340" s="154"/>
      <c r="HF340" s="154"/>
      <c r="HG340" s="154"/>
      <c r="HH340" s="154"/>
      <c r="HI340" s="154"/>
      <c r="HJ340" s="154"/>
      <c r="HK340" s="154"/>
      <c r="HL340" s="154"/>
      <c r="HM340" s="154"/>
      <c r="HN340" s="154"/>
      <c r="HO340" s="154"/>
      <c r="HP340" s="154"/>
      <c r="HQ340" s="154"/>
      <c r="HR340" s="154"/>
      <c r="HS340" s="154"/>
      <c r="HT340" s="154"/>
      <c r="HU340" s="154"/>
      <c r="HV340" s="154"/>
      <c r="HW340" s="154"/>
      <c r="HX340" s="154"/>
      <c r="HY340" s="154"/>
      <c r="HZ340" s="154"/>
      <c r="IA340" s="154"/>
      <c r="IB340" s="154"/>
      <c r="IC340" s="154"/>
      <c r="ID340" s="154"/>
      <c r="IE340" s="154"/>
      <c r="IF340" s="154"/>
      <c r="IG340" s="154"/>
      <c r="IH340" s="154"/>
      <c r="II340" s="154"/>
      <c r="IJ340" s="154"/>
      <c r="IK340" s="154"/>
      <c r="IL340" s="154"/>
      <c r="IM340" s="154"/>
      <c r="IN340" s="154"/>
      <c r="IO340" s="154"/>
      <c r="IP340" s="154"/>
      <c r="IQ340" s="154"/>
      <c r="IR340" s="154"/>
    </row>
    <row r="341" spans="1:252" x14ac:dyDescent="0.2">
      <c r="A341" s="237" t="s">
        <v>200</v>
      </c>
      <c r="B341" s="738">
        <f t="shared" ref="B341:AG341" si="814">B338-B339-B340</f>
        <v>183168.89599999995</v>
      </c>
      <c r="C341" s="738">
        <f t="shared" si="814"/>
        <v>108367.05070000002</v>
      </c>
      <c r="D341" s="738">
        <f t="shared" si="814"/>
        <v>38278.988535894896</v>
      </c>
      <c r="E341" s="738">
        <f t="shared" si="814"/>
        <v>44981.373547394993</v>
      </c>
      <c r="F341" s="711">
        <f t="shared" si="814"/>
        <v>43812.991547394893</v>
      </c>
      <c r="G341" s="738">
        <f t="shared" si="814"/>
        <v>45504.467547394917</v>
      </c>
      <c r="H341" s="738">
        <f t="shared" si="814"/>
        <v>47544.063547394937</v>
      </c>
      <c r="I341" s="738">
        <f t="shared" si="814"/>
        <v>46027.561547394958</v>
      </c>
      <c r="J341" s="738">
        <f t="shared" si="814"/>
        <v>48067.157547394978</v>
      </c>
      <c r="K341" s="738">
        <f t="shared" si="814"/>
        <v>49758.633547395002</v>
      </c>
      <c r="L341" s="738">
        <f t="shared" si="814"/>
        <v>51005.389547395054</v>
      </c>
      <c r="M341" s="738">
        <f t="shared" si="814"/>
        <v>49044.167547394987</v>
      </c>
      <c r="N341" s="738">
        <f t="shared" si="814"/>
        <v>48794.776210980024</v>
      </c>
      <c r="O341" s="738">
        <f t="shared" si="814"/>
        <v>46631.53221097996</v>
      </c>
      <c r="P341" s="738">
        <f t="shared" si="814"/>
        <v>46008.888210979872</v>
      </c>
      <c r="Q341" s="738">
        <f t="shared" si="814"/>
        <v>48594.222210979904</v>
      </c>
      <c r="R341" s="738">
        <f t="shared" si="814"/>
        <v>47971.578210980049</v>
      </c>
      <c r="S341" s="738">
        <f t="shared" si="814"/>
        <v>50556.912210980081</v>
      </c>
      <c r="T341" s="738">
        <f t="shared" si="814"/>
        <v>49934.268210979993</v>
      </c>
      <c r="U341" s="738">
        <f t="shared" si="814"/>
        <v>52519.602210979909</v>
      </c>
      <c r="V341" s="738">
        <f t="shared" si="814"/>
        <v>52245.078210979933</v>
      </c>
      <c r="W341" s="738">
        <f t="shared" si="814"/>
        <v>54830.412210979965</v>
      </c>
      <c r="X341" s="738">
        <f t="shared" si="814"/>
        <v>54207.768210979877</v>
      </c>
      <c r="Y341" s="738">
        <f t="shared" si="814"/>
        <v>56793.102210979909</v>
      </c>
      <c r="Z341" s="738">
        <f t="shared" si="814"/>
        <v>56170.458210979938</v>
      </c>
      <c r="AA341" s="738">
        <f t="shared" si="814"/>
        <v>58755.792210979969</v>
      </c>
      <c r="AB341" s="738">
        <f t="shared" si="814"/>
        <v>60548.286210980034</v>
      </c>
      <c r="AC341" s="738">
        <f t="shared" si="814"/>
        <v>59480.922210979974</v>
      </c>
      <c r="AD341" s="738">
        <f t="shared" si="814"/>
        <v>61273.416210979922</v>
      </c>
      <c r="AE341" s="738">
        <f t="shared" si="814"/>
        <v>63065.91021097987</v>
      </c>
      <c r="AF341" s="738">
        <f t="shared" si="814"/>
        <v>63537.124210980139</v>
      </c>
      <c r="AG341" s="738">
        <f t="shared" si="814"/>
        <v>63660.218210980063</v>
      </c>
      <c r="AH341" s="738">
        <f>AH338-AH339-AH340</f>
        <v>67339.410210979986</v>
      </c>
      <c r="AI341" s="738">
        <f>AI338-AI339-AI340</f>
        <v>67462.504210979911</v>
      </c>
      <c r="AJ341" s="157"/>
      <c r="AK341" s="157"/>
      <c r="AL341" s="113"/>
      <c r="AM341" s="157"/>
      <c r="AN341" s="133"/>
      <c r="AP341" s="133"/>
      <c r="AR341" s="133"/>
      <c r="AS341" s="157"/>
      <c r="AT341" s="157"/>
      <c r="AU341" s="157"/>
      <c r="AV341" s="157"/>
      <c r="AW341" s="157"/>
      <c r="AX341" s="157"/>
      <c r="AY341" s="157"/>
      <c r="AZ341" s="157"/>
      <c r="BA341" s="157"/>
      <c r="BB341" s="157"/>
      <c r="BC341" s="157"/>
      <c r="BD341" s="157"/>
      <c r="BE341" s="157"/>
      <c r="BF341" s="157"/>
      <c r="BG341" s="157"/>
      <c r="BH341" s="157"/>
      <c r="BI341" s="157"/>
      <c r="BJ341" s="157"/>
      <c r="BK341" s="157"/>
      <c r="BL341" s="157"/>
      <c r="BM341" s="157"/>
      <c r="BN341" s="157"/>
      <c r="BO341" s="157"/>
      <c r="BP341" s="157"/>
      <c r="BQ341" s="157"/>
      <c r="BR341" s="157"/>
      <c r="BS341" s="157"/>
      <c r="BT341" s="157"/>
      <c r="BU341" s="157"/>
      <c r="BV341" s="157"/>
      <c r="BW341" s="157"/>
      <c r="BX341" s="157"/>
      <c r="BY341" s="157"/>
      <c r="BZ341" s="157"/>
      <c r="CA341" s="157"/>
      <c r="CB341" s="157"/>
      <c r="CC341" s="157"/>
      <c r="CD341" s="157"/>
      <c r="CE341" s="157"/>
      <c r="CF341" s="157"/>
      <c r="CG341" s="157"/>
      <c r="CH341" s="157"/>
      <c r="CI341" s="157"/>
      <c r="CJ341" s="157"/>
      <c r="CK341" s="157"/>
      <c r="CL341" s="157"/>
      <c r="CM341" s="157"/>
      <c r="CN341" s="157"/>
      <c r="CO341" s="157"/>
      <c r="CP341" s="157"/>
      <c r="CQ341" s="157"/>
      <c r="CR341" s="157"/>
      <c r="CS341" s="157"/>
      <c r="CT341" s="157"/>
      <c r="CU341" s="157"/>
      <c r="CV341" s="157"/>
      <c r="CW341" s="157"/>
      <c r="CX341" s="157"/>
      <c r="CY341" s="157"/>
      <c r="CZ341" s="157"/>
      <c r="DA341" s="157"/>
      <c r="DB341" s="157"/>
      <c r="DC341" s="157"/>
      <c r="DD341" s="157"/>
      <c r="DE341" s="157"/>
      <c r="DF341" s="157"/>
      <c r="DG341" s="157"/>
      <c r="DH341" s="157"/>
      <c r="DI341" s="157"/>
      <c r="DJ341" s="157"/>
      <c r="DK341" s="157"/>
      <c r="DL341" s="157"/>
      <c r="DM341" s="157"/>
      <c r="DN341" s="157"/>
      <c r="DO341" s="157"/>
      <c r="DP341" s="157"/>
      <c r="DQ341" s="157"/>
      <c r="DR341" s="157"/>
      <c r="DS341" s="157"/>
      <c r="DT341" s="157"/>
      <c r="DU341" s="157"/>
      <c r="DV341" s="157"/>
      <c r="DW341" s="157"/>
      <c r="DX341" s="157"/>
      <c r="DY341" s="157"/>
      <c r="DZ341" s="157"/>
      <c r="EA341" s="157"/>
      <c r="EB341" s="157"/>
      <c r="EC341" s="157"/>
      <c r="ED341" s="157"/>
      <c r="EE341" s="157"/>
      <c r="EF341" s="157"/>
      <c r="EG341" s="157"/>
      <c r="EH341" s="157"/>
      <c r="EI341" s="157"/>
      <c r="EJ341" s="157"/>
      <c r="EK341" s="157"/>
      <c r="EL341" s="157"/>
      <c r="EM341" s="157"/>
      <c r="EN341" s="157"/>
      <c r="EO341" s="157"/>
      <c r="EP341" s="157"/>
      <c r="EQ341" s="157"/>
      <c r="ER341" s="157"/>
      <c r="ES341" s="157"/>
      <c r="ET341" s="157"/>
      <c r="EU341" s="157"/>
      <c r="EV341" s="157"/>
      <c r="EW341" s="157"/>
      <c r="EX341" s="157"/>
      <c r="EY341" s="157"/>
      <c r="EZ341" s="157"/>
      <c r="FA341" s="157"/>
      <c r="FB341" s="157"/>
      <c r="FC341" s="157"/>
      <c r="FD341" s="157"/>
      <c r="FE341" s="157"/>
      <c r="FF341" s="157"/>
      <c r="FG341" s="157"/>
      <c r="FH341" s="157"/>
      <c r="FI341" s="157"/>
      <c r="FJ341" s="157"/>
      <c r="FK341" s="157"/>
      <c r="FL341" s="157"/>
      <c r="FM341" s="157"/>
      <c r="FN341" s="157"/>
      <c r="FO341" s="157"/>
      <c r="FP341" s="157"/>
      <c r="FQ341" s="157"/>
      <c r="FR341" s="157"/>
      <c r="FS341" s="157"/>
      <c r="FT341" s="157"/>
      <c r="FU341" s="157"/>
      <c r="FV341" s="157"/>
      <c r="FW341" s="157"/>
      <c r="FX341" s="157"/>
      <c r="FY341" s="157"/>
      <c r="FZ341" s="157"/>
      <c r="GA341" s="157"/>
      <c r="GB341" s="157"/>
      <c r="GC341" s="157"/>
      <c r="GD341" s="157"/>
      <c r="GE341" s="157"/>
      <c r="GF341" s="157"/>
      <c r="GG341" s="157"/>
      <c r="GH341" s="157"/>
      <c r="GI341" s="157"/>
      <c r="GJ341" s="157"/>
      <c r="GK341" s="157"/>
      <c r="GL341" s="157"/>
      <c r="GM341" s="157"/>
      <c r="GN341" s="157"/>
      <c r="GO341" s="157"/>
      <c r="GP341" s="157"/>
      <c r="GQ341" s="157"/>
      <c r="GR341" s="157"/>
      <c r="GS341" s="157"/>
      <c r="GT341" s="157"/>
      <c r="GU341" s="157"/>
      <c r="GV341" s="157"/>
      <c r="GW341" s="157"/>
      <c r="GX341" s="157"/>
      <c r="GY341" s="157"/>
      <c r="GZ341" s="157"/>
      <c r="HA341" s="157"/>
      <c r="HB341" s="157"/>
      <c r="HC341" s="157"/>
      <c r="HD341" s="157"/>
      <c r="HE341" s="157"/>
      <c r="HF341" s="157"/>
      <c r="HG341" s="157"/>
      <c r="HH341" s="157"/>
      <c r="HI341" s="157"/>
      <c r="HJ341" s="157"/>
      <c r="HK341" s="157"/>
      <c r="HL341" s="157"/>
      <c r="HM341" s="157"/>
      <c r="HN341" s="157"/>
      <c r="HO341" s="157"/>
      <c r="HP341" s="157"/>
      <c r="HQ341" s="157"/>
      <c r="HR341" s="157"/>
      <c r="HS341" s="157"/>
      <c r="HT341" s="157"/>
      <c r="HU341" s="157"/>
      <c r="HV341" s="157"/>
      <c r="HW341" s="157"/>
      <c r="HX341" s="157"/>
      <c r="HY341" s="157"/>
      <c r="HZ341" s="157"/>
      <c r="IA341" s="157"/>
      <c r="IB341" s="157"/>
      <c r="IC341" s="157"/>
      <c r="ID341" s="157"/>
      <c r="IE341" s="157"/>
      <c r="IF341" s="157"/>
      <c r="IG341" s="157"/>
      <c r="IH341" s="157"/>
      <c r="II341" s="157"/>
      <c r="IJ341" s="157"/>
      <c r="IK341" s="157"/>
      <c r="IL341" s="157"/>
      <c r="IM341" s="157"/>
      <c r="IN341" s="157"/>
      <c r="IO341" s="157"/>
      <c r="IP341" s="157"/>
      <c r="IQ341" s="157"/>
      <c r="IR341" s="157"/>
    </row>
    <row r="342" spans="1:252" x14ac:dyDescent="0.2">
      <c r="B342" s="133"/>
      <c r="C342" s="133"/>
      <c r="D342" s="133"/>
      <c r="E342" s="133"/>
      <c r="F342" s="133"/>
      <c r="G342" s="133"/>
      <c r="H342" s="133"/>
      <c r="I342" s="133"/>
      <c r="J342" s="133"/>
      <c r="K342" s="133"/>
      <c r="L342" s="133"/>
      <c r="M342" s="133"/>
      <c r="N342" s="133"/>
      <c r="O342" s="133"/>
      <c r="P342" s="133"/>
      <c r="Q342" s="133"/>
      <c r="R342" s="133"/>
      <c r="S342" s="133"/>
      <c r="T342" s="133"/>
      <c r="U342" s="133"/>
      <c r="V342" s="133"/>
      <c r="W342" s="133"/>
      <c r="X342" s="133"/>
      <c r="Y342" s="133"/>
      <c r="Z342" s="133"/>
      <c r="AA342" s="133"/>
      <c r="AB342" s="133"/>
      <c r="AC342" s="133"/>
      <c r="AD342" s="133"/>
      <c r="AE342" s="133"/>
      <c r="AF342" s="133"/>
      <c r="AG342" s="133"/>
      <c r="AH342" s="133"/>
      <c r="AI342" s="133"/>
      <c r="AL342" s="113"/>
      <c r="AN342" s="133"/>
      <c r="AP342" s="133"/>
      <c r="AR342" s="133"/>
    </row>
    <row r="343" spans="1:252" x14ac:dyDescent="0.2">
      <c r="B343" s="133"/>
      <c r="C343" s="133"/>
      <c r="D343" s="133"/>
      <c r="E343" s="133"/>
      <c r="F343" s="133"/>
      <c r="G343" s="133"/>
      <c r="H343" s="133"/>
      <c r="I343" s="133"/>
      <c r="J343" s="133"/>
      <c r="K343" s="133"/>
      <c r="L343" s="133"/>
      <c r="M343" s="133"/>
      <c r="N343" s="133"/>
      <c r="O343" s="133"/>
      <c r="P343" s="133"/>
      <c r="Q343" s="133"/>
      <c r="R343" s="133"/>
      <c r="S343" s="133"/>
      <c r="T343" s="133"/>
      <c r="U343" s="133"/>
      <c r="V343" s="133"/>
      <c r="W343" s="133"/>
      <c r="X343" s="133"/>
      <c r="Y343" s="133"/>
      <c r="Z343" s="133"/>
      <c r="AA343" s="133"/>
      <c r="AB343" s="133"/>
      <c r="AC343" s="133"/>
      <c r="AD343" s="133"/>
      <c r="AE343" s="133"/>
      <c r="AF343" s="133"/>
      <c r="AG343" s="133"/>
      <c r="AH343" s="133"/>
      <c r="AI343" s="133"/>
      <c r="AL343" s="113"/>
      <c r="AN343" s="133"/>
      <c r="AP343" s="133"/>
      <c r="AR343" s="133"/>
    </row>
    <row r="344" spans="1:252" s="183" customFormat="1" ht="18" x14ac:dyDescent="0.2">
      <c r="A344" s="238" t="s">
        <v>293</v>
      </c>
      <c r="B344" s="182"/>
      <c r="C344" s="182"/>
      <c r="D344" s="182"/>
      <c r="E344" s="182"/>
      <c r="F344" s="18"/>
      <c r="G344" s="182"/>
      <c r="H344" s="182"/>
      <c r="I344" s="182"/>
      <c r="J344" s="182"/>
      <c r="K344" s="182"/>
      <c r="L344" s="182"/>
      <c r="M344" s="182"/>
      <c r="N344" s="182"/>
      <c r="O344" s="182"/>
      <c r="P344" s="182"/>
      <c r="Q344" s="182"/>
      <c r="R344" s="182"/>
      <c r="S344" s="182"/>
      <c r="T344" s="182"/>
      <c r="U344" s="182"/>
      <c r="V344" s="182"/>
      <c r="W344" s="182"/>
      <c r="X344" s="182"/>
      <c r="Y344" s="182"/>
      <c r="Z344" s="182"/>
      <c r="AA344" s="182"/>
      <c r="AB344" s="182"/>
      <c r="AC344" s="182"/>
      <c r="AD344" s="182"/>
      <c r="AE344" s="182"/>
      <c r="AF344" s="182"/>
      <c r="AG344" s="182"/>
      <c r="AH344" s="182"/>
      <c r="AI344" s="182"/>
      <c r="AL344" s="113"/>
      <c r="AN344" s="133"/>
      <c r="AO344" s="112"/>
      <c r="AP344" s="133"/>
      <c r="AQ344" s="112"/>
      <c r="AR344" s="133"/>
    </row>
    <row r="345" spans="1:252" s="183" customFormat="1" x14ac:dyDescent="0.2">
      <c r="A345" s="41"/>
      <c r="B345" s="182"/>
      <c r="C345" s="239"/>
      <c r="D345" s="182"/>
      <c r="E345" s="182"/>
      <c r="F345" s="18"/>
      <c r="G345" s="182"/>
      <c r="H345" s="182"/>
      <c r="I345" s="182"/>
      <c r="J345" s="182"/>
      <c r="K345" s="182"/>
      <c r="L345" s="182"/>
      <c r="M345" s="182"/>
      <c r="N345" s="182"/>
      <c r="O345" s="182"/>
      <c r="P345" s="182"/>
      <c r="Q345" s="182" t="s">
        <v>16</v>
      </c>
      <c r="R345" s="182"/>
      <c r="S345" s="182"/>
      <c r="T345" s="182"/>
      <c r="U345" s="182"/>
      <c r="V345" s="182"/>
      <c r="W345" s="182"/>
      <c r="X345" s="182"/>
      <c r="Y345" s="182"/>
      <c r="Z345" s="182"/>
      <c r="AA345" s="182"/>
      <c r="AB345" s="182"/>
      <c r="AC345" s="182"/>
      <c r="AD345" s="182"/>
      <c r="AE345" s="182"/>
      <c r="AF345" s="182"/>
      <c r="AG345" s="182"/>
      <c r="AH345" s="182"/>
      <c r="AI345" s="182"/>
      <c r="AL345" s="113"/>
      <c r="AN345" s="133"/>
      <c r="AO345" s="112"/>
      <c r="AP345" s="133"/>
      <c r="AQ345" s="112"/>
      <c r="AR345" s="133"/>
    </row>
    <row r="346" spans="1:252" s="183" customFormat="1" x14ac:dyDescent="0.2">
      <c r="A346" s="41"/>
      <c r="B346" s="179">
        <f>Aprekini!B5</f>
        <v>2019</v>
      </c>
      <c r="C346" s="179">
        <f t="shared" ref="C346:AG346" si="815">B346+1</f>
        <v>2020</v>
      </c>
      <c r="D346" s="179">
        <f t="shared" si="815"/>
        <v>2021</v>
      </c>
      <c r="E346" s="179">
        <f t="shared" si="815"/>
        <v>2022</v>
      </c>
      <c r="F346" s="20">
        <f t="shared" si="815"/>
        <v>2023</v>
      </c>
      <c r="G346" s="179">
        <f t="shared" si="815"/>
        <v>2024</v>
      </c>
      <c r="H346" s="179">
        <f t="shared" si="815"/>
        <v>2025</v>
      </c>
      <c r="I346" s="179">
        <f t="shared" si="815"/>
        <v>2026</v>
      </c>
      <c r="J346" s="179">
        <f t="shared" si="815"/>
        <v>2027</v>
      </c>
      <c r="K346" s="179">
        <f t="shared" si="815"/>
        <v>2028</v>
      </c>
      <c r="L346" s="179">
        <f t="shared" si="815"/>
        <v>2029</v>
      </c>
      <c r="M346" s="179">
        <f t="shared" si="815"/>
        <v>2030</v>
      </c>
      <c r="N346" s="179">
        <f t="shared" si="815"/>
        <v>2031</v>
      </c>
      <c r="O346" s="179">
        <f t="shared" si="815"/>
        <v>2032</v>
      </c>
      <c r="P346" s="179">
        <f t="shared" si="815"/>
        <v>2033</v>
      </c>
      <c r="Q346" s="179">
        <f t="shared" si="815"/>
        <v>2034</v>
      </c>
      <c r="R346" s="179">
        <f t="shared" si="815"/>
        <v>2035</v>
      </c>
      <c r="S346" s="179">
        <f t="shared" si="815"/>
        <v>2036</v>
      </c>
      <c r="T346" s="179">
        <f t="shared" si="815"/>
        <v>2037</v>
      </c>
      <c r="U346" s="240">
        <f t="shared" si="815"/>
        <v>2038</v>
      </c>
      <c r="V346" s="240">
        <f t="shared" si="815"/>
        <v>2039</v>
      </c>
      <c r="W346" s="240">
        <f t="shared" si="815"/>
        <v>2040</v>
      </c>
      <c r="X346" s="240">
        <f t="shared" si="815"/>
        <v>2041</v>
      </c>
      <c r="Y346" s="240">
        <f t="shared" si="815"/>
        <v>2042</v>
      </c>
      <c r="Z346" s="240">
        <f t="shared" si="815"/>
        <v>2043</v>
      </c>
      <c r="AA346" s="240">
        <f t="shared" si="815"/>
        <v>2044</v>
      </c>
      <c r="AB346" s="240">
        <f t="shared" si="815"/>
        <v>2045</v>
      </c>
      <c r="AC346" s="240">
        <f t="shared" si="815"/>
        <v>2046</v>
      </c>
      <c r="AD346" s="240">
        <f t="shared" si="815"/>
        <v>2047</v>
      </c>
      <c r="AE346" s="240">
        <f t="shared" si="815"/>
        <v>2048</v>
      </c>
      <c r="AF346" s="240">
        <f t="shared" si="815"/>
        <v>2049</v>
      </c>
      <c r="AG346" s="240">
        <f t="shared" si="815"/>
        <v>2050</v>
      </c>
      <c r="AH346" s="240">
        <f>AG346+1</f>
        <v>2051</v>
      </c>
      <c r="AI346" s="240">
        <f>AH346+1</f>
        <v>2052</v>
      </c>
      <c r="AL346" s="113"/>
      <c r="AN346" s="133"/>
      <c r="AO346" s="112"/>
      <c r="AP346" s="133"/>
      <c r="AQ346" s="112"/>
      <c r="AR346" s="133"/>
    </row>
    <row r="347" spans="1:252" s="183" customFormat="1" x14ac:dyDescent="0.2">
      <c r="A347" s="241" t="s">
        <v>201</v>
      </c>
      <c r="B347" s="242"/>
      <c r="C347" s="242"/>
      <c r="D347" s="242"/>
      <c r="E347" s="242"/>
      <c r="F347" s="243"/>
      <c r="G347" s="242"/>
      <c r="H347" s="242"/>
      <c r="I347" s="242"/>
      <c r="J347" s="242"/>
      <c r="K347" s="242"/>
      <c r="L347" s="242"/>
      <c r="M347" s="242"/>
      <c r="N347" s="242"/>
      <c r="O347" s="242"/>
      <c r="P347" s="242"/>
      <c r="Q347" s="242"/>
      <c r="R347" s="242"/>
      <c r="S347" s="242"/>
      <c r="T347" s="242"/>
      <c r="U347" s="242"/>
      <c r="V347" s="242"/>
      <c r="W347" s="242"/>
      <c r="X347" s="242"/>
      <c r="Y347" s="242"/>
      <c r="Z347" s="242"/>
      <c r="AA347" s="242"/>
      <c r="AB347" s="242"/>
      <c r="AC347" s="242"/>
      <c r="AD347" s="242"/>
      <c r="AE347" s="242"/>
      <c r="AF347" s="242"/>
      <c r="AG347" s="242"/>
      <c r="AH347" s="242"/>
      <c r="AI347" s="242"/>
      <c r="AL347" s="113"/>
      <c r="AN347" s="133"/>
      <c r="AO347" s="112"/>
      <c r="AP347" s="133"/>
      <c r="AQ347" s="112"/>
      <c r="AR347" s="133"/>
    </row>
    <row r="348" spans="1:252" s="183" customFormat="1" x14ac:dyDescent="0.2">
      <c r="A348" s="227" t="s">
        <v>202</v>
      </c>
      <c r="B348" s="722">
        <f t="shared" ref="B348:AG348" si="816">SUM(B349:B351)</f>
        <v>4894417.9400000023</v>
      </c>
      <c r="C348" s="722">
        <f t="shared" si="816"/>
        <v>5120221.9400000032</v>
      </c>
      <c r="D348" s="722">
        <f t="shared" si="816"/>
        <v>5121566.4400000032</v>
      </c>
      <c r="E348" s="722">
        <f t="shared" si="816"/>
        <v>5084334.9400000032</v>
      </c>
      <c r="F348" s="711">
        <f t="shared" si="816"/>
        <v>5047103.4400000032</v>
      </c>
      <c r="G348" s="722">
        <f t="shared" si="816"/>
        <v>5009871.9400000032</v>
      </c>
      <c r="H348" s="722">
        <f>SUM(H349:H351)</f>
        <v>4972640.4400000032</v>
      </c>
      <c r="I348" s="722">
        <f>SUM(I349:I351)</f>
        <v>4935408.9400000023</v>
      </c>
      <c r="J348" s="722">
        <f>SUM(J349:J351)</f>
        <v>4898177.4400000023</v>
      </c>
      <c r="K348" s="722">
        <f>SUM(K349:K351)</f>
        <v>4860945.9400000023</v>
      </c>
      <c r="L348" s="722">
        <f t="shared" si="816"/>
        <v>4823714.4400000023</v>
      </c>
      <c r="M348" s="722">
        <f t="shared" si="816"/>
        <v>4786482.9400000023</v>
      </c>
      <c r="N348" s="722">
        <f t="shared" si="816"/>
        <v>4765239.9400000023</v>
      </c>
      <c r="O348" s="722">
        <f t="shared" si="816"/>
        <v>4743996.9400000023</v>
      </c>
      <c r="P348" s="722">
        <f t="shared" si="816"/>
        <v>4722753.9400000023</v>
      </c>
      <c r="Q348" s="722">
        <f t="shared" si="816"/>
        <v>4701510.9400000023</v>
      </c>
      <c r="R348" s="722">
        <f t="shared" si="816"/>
        <v>4680267.9400000023</v>
      </c>
      <c r="S348" s="722">
        <f t="shared" si="816"/>
        <v>4659024.9400000023</v>
      </c>
      <c r="T348" s="722">
        <f t="shared" si="816"/>
        <v>4637781.9400000023</v>
      </c>
      <c r="U348" s="722">
        <f t="shared" si="816"/>
        <v>4616538.9400000023</v>
      </c>
      <c r="V348" s="722">
        <f t="shared" si="816"/>
        <v>4595295.9400000023</v>
      </c>
      <c r="W348" s="722">
        <f t="shared" si="816"/>
        <v>4574052.9400000023</v>
      </c>
      <c r="X348" s="722">
        <f t="shared" si="816"/>
        <v>4552809.9400000023</v>
      </c>
      <c r="Y348" s="722">
        <f t="shared" si="816"/>
        <v>4531566.9400000023</v>
      </c>
      <c r="Z348" s="722">
        <f t="shared" si="816"/>
        <v>4510323.9400000023</v>
      </c>
      <c r="AA348" s="722">
        <f t="shared" si="816"/>
        <v>4489080.9400000023</v>
      </c>
      <c r="AB348" s="722">
        <f t="shared" si="816"/>
        <v>4467837.9400000023</v>
      </c>
      <c r="AC348" s="722">
        <f t="shared" si="816"/>
        <v>4446594.9400000023</v>
      </c>
      <c r="AD348" s="722">
        <f t="shared" si="816"/>
        <v>4425351.9400000023</v>
      </c>
      <c r="AE348" s="722">
        <f t="shared" si="816"/>
        <v>4404108.9400000023</v>
      </c>
      <c r="AF348" s="722">
        <f t="shared" si="816"/>
        <v>4382865.9400000023</v>
      </c>
      <c r="AG348" s="722">
        <f t="shared" si="816"/>
        <v>4361622.9400000023</v>
      </c>
      <c r="AH348" s="722">
        <f>SUM(AH349:AH351)</f>
        <v>4340379.9400000023</v>
      </c>
      <c r="AI348" s="722">
        <f>SUM(AI349:AI351)</f>
        <v>4319136.9400000032</v>
      </c>
      <c r="AL348" s="113"/>
      <c r="AN348" s="133"/>
      <c r="AO348" s="112"/>
      <c r="AP348" s="133"/>
      <c r="AQ348" s="112"/>
      <c r="AR348" s="133"/>
      <c r="AU348" s="244"/>
      <c r="AV348" s="244"/>
    </row>
    <row r="349" spans="1:252" s="183" customFormat="1" x14ac:dyDescent="0.2">
      <c r="A349" s="213" t="s">
        <v>203</v>
      </c>
      <c r="B349" s="731">
        <f>Aprekini!B123+Aprekini!B8+Aprekini!B13</f>
        <v>4540264.1600000029</v>
      </c>
      <c r="C349" s="731">
        <f>Aprekini!C123+Aprekini!C8+Aprekini!C13</f>
        <v>4611999.1600000029</v>
      </c>
      <c r="D349" s="731">
        <f>Aprekini!D123+Aprekini!D8+Aprekini!D13</f>
        <v>4633434.1600000029</v>
      </c>
      <c r="E349" s="731">
        <f>Aprekini!E123+Aprekini!E8+Aprekini!E13</f>
        <v>4616007.1600000029</v>
      </c>
      <c r="F349" s="730">
        <f>Aprekini!F123+Aprekini!F8+Aprekini!F13</f>
        <v>4598580.1600000029</v>
      </c>
      <c r="G349" s="731">
        <f>Aprekini!G123+Aprekini!G8+Aprekini!G13</f>
        <v>4581153.1600000029</v>
      </c>
      <c r="H349" s="731">
        <f>Aprekini!H123+Aprekini!H8+Aprekini!H13</f>
        <v>4563726.1600000029</v>
      </c>
      <c r="I349" s="731">
        <f>Aprekini!I123+Aprekini!I8+Aprekini!I13</f>
        <v>4546299.1600000029</v>
      </c>
      <c r="J349" s="731">
        <f>Aprekini!J123+Aprekini!J8+Aprekini!J13</f>
        <v>4528872.1600000029</v>
      </c>
      <c r="K349" s="731">
        <f>Aprekini!K123+Aprekini!K8+Aprekini!K13</f>
        <v>4511445.1600000029</v>
      </c>
      <c r="L349" s="731">
        <f>Aprekini!L123+Aprekini!L8+Aprekini!L13</f>
        <v>4494018.1600000029</v>
      </c>
      <c r="M349" s="731">
        <f>Aprekini!M123+Aprekini!M8+Aprekini!M13</f>
        <v>4476591.1600000029</v>
      </c>
      <c r="N349" s="731">
        <f>Aprekini!N123+Aprekini!N8+Aprekini!N13</f>
        <v>4459164.1600000029</v>
      </c>
      <c r="O349" s="731">
        <f>Aprekini!O123+Aprekini!O8+Aprekini!O13</f>
        <v>4441737.1600000029</v>
      </c>
      <c r="P349" s="731">
        <f>Aprekini!P123+Aprekini!P8+Aprekini!P13</f>
        <v>4424310.1600000029</v>
      </c>
      <c r="Q349" s="731">
        <f>Aprekini!Q123+Aprekini!Q8+Aprekini!Q13</f>
        <v>4406883.1600000029</v>
      </c>
      <c r="R349" s="731">
        <f>Aprekini!R123+Aprekini!R8+Aprekini!R13</f>
        <v>4389456.1600000029</v>
      </c>
      <c r="S349" s="731">
        <f>Aprekini!S123+Aprekini!S8+Aprekini!S13</f>
        <v>4372029.1600000029</v>
      </c>
      <c r="T349" s="731">
        <f>Aprekini!T123+Aprekini!T8+Aprekini!T13</f>
        <v>4354602.1600000029</v>
      </c>
      <c r="U349" s="731">
        <f>Aprekini!U123+Aprekini!U8+Aprekini!U13</f>
        <v>4337175.1600000029</v>
      </c>
      <c r="V349" s="731">
        <f>Aprekini!V123+Aprekini!V8+Aprekini!V13</f>
        <v>4319748.1600000029</v>
      </c>
      <c r="W349" s="731">
        <f>Aprekini!W123+Aprekini!W8+Aprekini!W13</f>
        <v>4302321.1600000029</v>
      </c>
      <c r="X349" s="731">
        <f>Aprekini!X123+Aprekini!X8+Aprekini!X13</f>
        <v>4284894.1600000029</v>
      </c>
      <c r="Y349" s="731">
        <f>Aprekini!Y123+Aprekini!Y8+Aprekini!Y13</f>
        <v>4267467.1600000029</v>
      </c>
      <c r="Z349" s="731">
        <f>Aprekini!Z123+Aprekini!Z8+Aprekini!Z13</f>
        <v>4250040.1600000029</v>
      </c>
      <c r="AA349" s="731">
        <f>Aprekini!AA123+Aprekini!AA8+Aprekini!AA13</f>
        <v>4232613.1600000029</v>
      </c>
      <c r="AB349" s="731">
        <f>Aprekini!AB123+Aprekini!AB8+Aprekini!AB13</f>
        <v>4215186.1600000029</v>
      </c>
      <c r="AC349" s="731">
        <f>Aprekini!AC123+Aprekini!AC8+Aprekini!AC13</f>
        <v>4197759.1600000029</v>
      </c>
      <c r="AD349" s="731">
        <f>Aprekini!AD123+Aprekini!AD8+Aprekini!AD13</f>
        <v>4180332.1600000029</v>
      </c>
      <c r="AE349" s="731">
        <f>Aprekini!AE123+Aprekini!AE8+Aprekini!AE13</f>
        <v>4162905.1600000029</v>
      </c>
      <c r="AF349" s="731">
        <f>Aprekini!AF123+Aprekini!AF8+Aprekini!AF13</f>
        <v>4145478.1600000029</v>
      </c>
      <c r="AG349" s="731">
        <f>Aprekini!AG123+Aprekini!AG8+Aprekini!AG13</f>
        <v>4128051.1600000029</v>
      </c>
      <c r="AH349" s="731">
        <f>Aprekini!AH123+Aprekini!AH8+Aprekini!AH13</f>
        <v>4110624.1600000029</v>
      </c>
      <c r="AI349" s="731">
        <f>Aprekini!AI123+Aprekini!AI8+Aprekini!AI13</f>
        <v>4093197.1600000029</v>
      </c>
      <c r="AL349" s="113"/>
      <c r="AN349" s="133"/>
      <c r="AO349" s="112"/>
      <c r="AP349" s="133"/>
      <c r="AQ349" s="112"/>
      <c r="AR349" s="133"/>
      <c r="AU349" s="244"/>
      <c r="AV349" s="244"/>
    </row>
    <row r="350" spans="1:252" s="183" customFormat="1" x14ac:dyDescent="0.2">
      <c r="A350" s="213" t="s">
        <v>204</v>
      </c>
      <c r="B350" s="731">
        <f>Aprekini!B129+Aprekini!B9+Aprekini!B14</f>
        <v>106312.27</v>
      </c>
      <c r="C350" s="731">
        <f>Aprekini!C129+Aprekini!C9+Aprekini!C14</f>
        <v>167194.27000000002</v>
      </c>
      <c r="D350" s="731">
        <f>Aprekini!D129+Aprekini!D9+Aprekini!D14</f>
        <v>160756.27000000002</v>
      </c>
      <c r="E350" s="731">
        <f>Aprekini!E129+Aprekini!E9+Aprekini!E14</f>
        <v>154318.27000000002</v>
      </c>
      <c r="F350" s="730">
        <f>Aprekini!F129+Aprekini!F9+Aprekini!F14</f>
        <v>147880.27000000002</v>
      </c>
      <c r="G350" s="731">
        <f>Aprekini!G129+Aprekini!G9+Aprekini!G14</f>
        <v>141442.27000000002</v>
      </c>
      <c r="H350" s="731">
        <f>Aprekini!H129+Aprekini!H9+Aprekini!H14</f>
        <v>135004.27000000002</v>
      </c>
      <c r="I350" s="731">
        <f>Aprekini!I129+Aprekini!I9+Aprekini!I14</f>
        <v>128566.27</v>
      </c>
      <c r="J350" s="731">
        <f>Aprekini!J129+Aprekini!J9+Aprekini!J14</f>
        <v>122128.27</v>
      </c>
      <c r="K350" s="731">
        <f>Aprekini!K129+Aprekini!K9+Aprekini!K14</f>
        <v>115690.27</v>
      </c>
      <c r="L350" s="731">
        <f>Aprekini!L129+Aprekini!L9+Aprekini!L14</f>
        <v>109252.27</v>
      </c>
      <c r="M350" s="731">
        <f>Aprekini!M129+Aprekini!M9+Aprekini!M14</f>
        <v>102814.27</v>
      </c>
      <c r="N350" s="731">
        <f>Aprekini!N129+Aprekini!N9+Aprekini!N14</f>
        <v>102496.27</v>
      </c>
      <c r="O350" s="731">
        <f>Aprekini!O129+Aprekini!O9+Aprekini!O14</f>
        <v>102178.27</v>
      </c>
      <c r="P350" s="731">
        <f>Aprekini!P129+Aprekini!P9+Aprekini!P14</f>
        <v>101860.27</v>
      </c>
      <c r="Q350" s="731">
        <f>Aprekini!Q129+Aprekini!Q9+Aprekini!Q14</f>
        <v>101542.27</v>
      </c>
      <c r="R350" s="731">
        <f>Aprekini!R129+Aprekini!R9+Aprekini!R14</f>
        <v>101224.27</v>
      </c>
      <c r="S350" s="731">
        <f>Aprekini!S129+Aprekini!S9+Aprekini!S14</f>
        <v>100906.27</v>
      </c>
      <c r="T350" s="731">
        <f>Aprekini!T129+Aprekini!T9+Aprekini!T14</f>
        <v>100588.27</v>
      </c>
      <c r="U350" s="731">
        <f>Aprekini!U129+Aprekini!U9+Aprekini!U14</f>
        <v>100270.27</v>
      </c>
      <c r="V350" s="731">
        <f>Aprekini!V129+Aprekini!V9+Aprekini!V14</f>
        <v>99952.27</v>
      </c>
      <c r="W350" s="731">
        <f>Aprekini!W129+Aprekini!W9+Aprekini!W14</f>
        <v>99634.27</v>
      </c>
      <c r="X350" s="731">
        <f>Aprekini!X129+Aprekini!X9+Aprekini!X14</f>
        <v>99316.27</v>
      </c>
      <c r="Y350" s="731">
        <f>Aprekini!Y129+Aprekini!Y9+Aprekini!Y14</f>
        <v>98998.27</v>
      </c>
      <c r="Z350" s="731">
        <f>Aprekini!Z129+Aprekini!Z9+Aprekini!Z14</f>
        <v>98680.27</v>
      </c>
      <c r="AA350" s="731">
        <f>Aprekini!AA129+Aprekini!AA9+Aprekini!AA14</f>
        <v>98362.27</v>
      </c>
      <c r="AB350" s="731">
        <f>Aprekini!AB129+Aprekini!AB9+Aprekini!AB14</f>
        <v>98044.27</v>
      </c>
      <c r="AC350" s="731">
        <f>Aprekini!AC129+Aprekini!AC9+Aprekini!AC14</f>
        <v>97726.27</v>
      </c>
      <c r="AD350" s="731">
        <f>Aprekini!AD129+Aprekini!AD9+Aprekini!AD14</f>
        <v>97408.27</v>
      </c>
      <c r="AE350" s="731">
        <f>Aprekini!AE129+Aprekini!AE9+Aprekini!AE14</f>
        <v>97090.27</v>
      </c>
      <c r="AF350" s="731">
        <f>Aprekini!AF129+Aprekini!AF9+Aprekini!AF14</f>
        <v>96772.27</v>
      </c>
      <c r="AG350" s="731">
        <f>Aprekini!AG129+Aprekini!AG9+Aprekini!AG14</f>
        <v>96454.27</v>
      </c>
      <c r="AH350" s="731">
        <f>Aprekini!AH129+Aprekini!AH9+Aprekini!AH14</f>
        <v>96136.27</v>
      </c>
      <c r="AI350" s="731">
        <f>Aprekini!AI129+Aprekini!AI9+Aprekini!AI14</f>
        <v>95818.27</v>
      </c>
      <c r="AL350" s="113"/>
      <c r="AN350" s="133"/>
      <c r="AO350" s="112"/>
      <c r="AP350" s="133"/>
      <c r="AQ350" s="112"/>
      <c r="AR350" s="133"/>
      <c r="AU350" s="244"/>
      <c r="AV350" s="244"/>
    </row>
    <row r="351" spans="1:252" s="183" customFormat="1" ht="25.5" x14ac:dyDescent="0.2">
      <c r="A351" s="213" t="s">
        <v>494</v>
      </c>
      <c r="B351" s="731">
        <f>Aprekini!B135+Aprekini!B10+Aprekini!B15+B11+B16</f>
        <v>247841.51</v>
      </c>
      <c r="C351" s="731">
        <f>Aprekini!C135+Aprekini!C10+Aprekini!C15+C11+C16</f>
        <v>341028.51</v>
      </c>
      <c r="D351" s="731">
        <f>Aprekini!D135+Aprekini!D10+Aprekini!D15+D11+D16</f>
        <v>327376.01</v>
      </c>
      <c r="E351" s="731">
        <f>Aprekini!E135+Aprekini!E10+Aprekini!E15+E11+E16</f>
        <v>314009.51</v>
      </c>
      <c r="F351" s="731">
        <f>Aprekini!F135+Aprekini!F10+Aprekini!F15+F11+F16</f>
        <v>300643.01</v>
      </c>
      <c r="G351" s="731">
        <f>Aprekini!G135+Aprekini!G10+Aprekini!G15+G11+G16</f>
        <v>287276.51</v>
      </c>
      <c r="H351" s="731">
        <f>Aprekini!H135+Aprekini!H10+Aprekini!H15+H11+H16</f>
        <v>273910.01</v>
      </c>
      <c r="I351" s="731">
        <f>Aprekini!I135+Aprekini!I10+Aprekini!I15+I11+I16</f>
        <v>260543.51</v>
      </c>
      <c r="J351" s="731">
        <f>Aprekini!J135+Aprekini!J10+Aprekini!J15+J11+J16</f>
        <v>247177.01</v>
      </c>
      <c r="K351" s="731">
        <f>Aprekini!K135+Aprekini!K10+Aprekini!K15+K11+K16</f>
        <v>233810.51</v>
      </c>
      <c r="L351" s="731">
        <f>Aprekini!L135+Aprekini!L10+Aprekini!L15+L11+L16</f>
        <v>220444.01</v>
      </c>
      <c r="M351" s="731">
        <f>Aprekini!M135+Aprekini!M10+Aprekini!M15+M11+M16</f>
        <v>207077.51</v>
      </c>
      <c r="N351" s="731">
        <f>Aprekini!N135+Aprekini!N10+Aprekini!N15+N11+N16</f>
        <v>203579.51</v>
      </c>
      <c r="O351" s="731">
        <f>Aprekini!O135+Aprekini!O10+Aprekini!O15+O11+O16</f>
        <v>200081.51</v>
      </c>
      <c r="P351" s="731">
        <f>Aprekini!P135+Aprekini!P10+Aprekini!P15+P11+P16</f>
        <v>196583.51</v>
      </c>
      <c r="Q351" s="731">
        <f>Aprekini!Q135+Aprekini!Q10+Aprekini!Q15+Q11+Q16</f>
        <v>193085.51</v>
      </c>
      <c r="R351" s="731">
        <f>Aprekini!R135+Aprekini!R10+Aprekini!R15+R11+R16</f>
        <v>189587.51</v>
      </c>
      <c r="S351" s="731">
        <f>Aprekini!S135+Aprekini!S10+Aprekini!S15+S11+S16</f>
        <v>186089.51</v>
      </c>
      <c r="T351" s="731">
        <f>Aprekini!T135+Aprekini!T10+Aprekini!T15+T11+T16</f>
        <v>182591.51</v>
      </c>
      <c r="U351" s="731">
        <f>Aprekini!U135+Aprekini!U10+Aprekini!U15+U11+U16</f>
        <v>179093.51</v>
      </c>
      <c r="V351" s="731">
        <f>Aprekini!V135+Aprekini!V10+Aprekini!V15+V11+V16</f>
        <v>175595.51</v>
      </c>
      <c r="W351" s="731">
        <f>Aprekini!W135+Aprekini!W10+Aprekini!W15+W11+W16</f>
        <v>172097.51</v>
      </c>
      <c r="X351" s="731">
        <f>Aprekini!X135+Aprekini!X10+Aprekini!X15+X11+X16</f>
        <v>168599.51</v>
      </c>
      <c r="Y351" s="731">
        <f>Aprekini!Y135+Aprekini!Y10+Aprekini!Y15+Y11+Y16</f>
        <v>165101.51</v>
      </c>
      <c r="Z351" s="731">
        <f>Aprekini!Z135+Aprekini!Z10+Aprekini!Z15+Z11+Z16</f>
        <v>161603.51</v>
      </c>
      <c r="AA351" s="731">
        <f>Aprekini!AA135+Aprekini!AA10+Aprekini!AA15+AA11+AA16</f>
        <v>158105.51</v>
      </c>
      <c r="AB351" s="731">
        <f>Aprekini!AB135+Aprekini!AB10+Aprekini!AB15+AB11+AB16</f>
        <v>154607.51</v>
      </c>
      <c r="AC351" s="731">
        <f>Aprekini!AC135+Aprekini!AC10+Aprekini!AC15+AC11+AC16</f>
        <v>151109.51</v>
      </c>
      <c r="AD351" s="731">
        <f>Aprekini!AD135+Aprekini!AD10+Aprekini!AD15+AD11+AD16</f>
        <v>147611.51</v>
      </c>
      <c r="AE351" s="731">
        <f>Aprekini!AE135+Aprekini!AE10+Aprekini!AE15+AE11+AE16</f>
        <v>144113.51</v>
      </c>
      <c r="AF351" s="731">
        <f>Aprekini!AF135+Aprekini!AF10+Aprekini!AF15+AF11+AF16</f>
        <v>140615.51</v>
      </c>
      <c r="AG351" s="731">
        <f>Aprekini!AG135+Aprekini!AG10+Aprekini!AG15+AG11+AG16</f>
        <v>137117.51</v>
      </c>
      <c r="AH351" s="731">
        <f>Aprekini!AH135+Aprekini!AH10+Aprekini!AH15+AH11+AH16</f>
        <v>133619.51</v>
      </c>
      <c r="AI351" s="731">
        <f>Aprekini!AI135+Aprekini!AI10+Aprekini!AI15+AI11+AI16</f>
        <v>130121.51000000001</v>
      </c>
      <c r="AL351" s="113"/>
      <c r="AN351" s="133"/>
      <c r="AO351" s="112"/>
      <c r="AP351" s="133"/>
      <c r="AQ351" s="112"/>
      <c r="AR351" s="133"/>
      <c r="AU351" s="244"/>
      <c r="AV351" s="244"/>
    </row>
    <row r="352" spans="1:252" s="183" customFormat="1" x14ac:dyDescent="0.2">
      <c r="A352" s="227" t="s">
        <v>205</v>
      </c>
      <c r="B352" s="722">
        <f t="shared" ref="B352:AG352" si="817">SUM(B353:B354)</f>
        <v>203949.89599999995</v>
      </c>
      <c r="C352" s="722">
        <f t="shared" si="817"/>
        <v>171998.85353199995</v>
      </c>
      <c r="D352" s="722">
        <f t="shared" si="817"/>
        <v>187378.88978799983</v>
      </c>
      <c r="E352" s="722">
        <f t="shared" si="817"/>
        <v>226585.91168799982</v>
      </c>
      <c r="F352" s="711">
        <f t="shared" si="817"/>
        <v>263660.60038799973</v>
      </c>
      <c r="G352" s="722">
        <f t="shared" si="817"/>
        <v>302005.27618799958</v>
      </c>
      <c r="H352" s="722">
        <f>SUM(H353:H354)</f>
        <v>341825.06618799956</v>
      </c>
      <c r="I352" s="722">
        <f>SUM(I353:I354)</f>
        <v>379546.46638799948</v>
      </c>
      <c r="J352" s="722">
        <f>SUM(J353:J354)</f>
        <v>418903.37968799949</v>
      </c>
      <c r="K352" s="722">
        <f>SUM(K353:K354)</f>
        <v>459369.8811879995</v>
      </c>
      <c r="L352" s="722">
        <f t="shared" si="817"/>
        <v>500518.65688799956</v>
      </c>
      <c r="M352" s="722">
        <f t="shared" si="817"/>
        <v>539089.51078799961</v>
      </c>
      <c r="N352" s="722">
        <f t="shared" si="817"/>
        <v>568628.56178799958</v>
      </c>
      <c r="O352" s="722">
        <f t="shared" si="817"/>
        <v>600878.7818879995</v>
      </c>
      <c r="P352" s="722">
        <f t="shared" si="817"/>
        <v>631889.65818799939</v>
      </c>
      <c r="Q352" s="722">
        <f t="shared" si="817"/>
        <v>664782.13868799934</v>
      </c>
      <c r="R352" s="722">
        <f t="shared" si="817"/>
        <v>696187.84648799943</v>
      </c>
      <c r="S352" s="722">
        <f t="shared" si="817"/>
        <v>729475.15848799946</v>
      </c>
      <c r="T352" s="722">
        <f t="shared" si="817"/>
        <v>761275.69778799941</v>
      </c>
      <c r="U352" s="722">
        <f t="shared" si="817"/>
        <v>794957.8412879993</v>
      </c>
      <c r="V352" s="722">
        <f t="shared" si="817"/>
        <v>827501.33208799921</v>
      </c>
      <c r="W352" s="722">
        <f t="shared" si="817"/>
        <v>861909.02108799922</v>
      </c>
      <c r="X352" s="722">
        <f t="shared" si="817"/>
        <v>894829.93738799915</v>
      </c>
      <c r="Y352" s="722">
        <f t="shared" si="817"/>
        <v>929632.45788799901</v>
      </c>
      <c r="Z352" s="722">
        <f t="shared" si="817"/>
        <v>962948.20568799891</v>
      </c>
      <c r="AA352" s="722">
        <f t="shared" si="817"/>
        <v>998145.55768799887</v>
      </c>
      <c r="AB352" s="722">
        <f t="shared" si="817"/>
        <v>1034271.2749879989</v>
      </c>
      <c r="AC352" s="722">
        <f t="shared" si="817"/>
        <v>1068430.6875879988</v>
      </c>
      <c r="AD352" s="722">
        <f t="shared" si="817"/>
        <v>1103626.6463879987</v>
      </c>
      <c r="AE352" s="722">
        <f t="shared" si="817"/>
        <v>1139716.1584879986</v>
      </c>
      <c r="AF352" s="722">
        <f t="shared" si="817"/>
        <v>1175377.9438879986</v>
      </c>
      <c r="AG352" s="722">
        <f t="shared" si="817"/>
        <v>1210159.4465879987</v>
      </c>
      <c r="AH352" s="722">
        <f>SUM(AH353:AH354)</f>
        <v>1247634.1705879986</v>
      </c>
      <c r="AI352" s="722">
        <f>SUM(AI353:AI354)</f>
        <v>1284068.2129879985</v>
      </c>
      <c r="AL352" s="113"/>
      <c r="AN352" s="133"/>
      <c r="AO352" s="112"/>
      <c r="AP352" s="133"/>
      <c r="AQ352" s="112"/>
      <c r="AR352" s="133"/>
      <c r="AU352" s="244"/>
      <c r="AV352" s="244"/>
    </row>
    <row r="353" spans="1:48" s="183" customFormat="1" x14ac:dyDescent="0.2">
      <c r="A353" s="213" t="s">
        <v>206</v>
      </c>
      <c r="B353" s="731">
        <f>'Naudas plusma'!B25</f>
        <v>169882.65619999994</v>
      </c>
      <c r="C353" s="731">
        <f>'Naudas plusma'!C25</f>
        <v>140955.61383199994</v>
      </c>
      <c r="D353" s="731">
        <f>'Naudas plusma'!D25</f>
        <v>158215.32568799984</v>
      </c>
      <c r="E353" s="731">
        <f>'Naudas plusma'!E25</f>
        <v>196458.39638799982</v>
      </c>
      <c r="F353" s="730">
        <f>'Naudas plusma'!F25</f>
        <v>233111.5961879997</v>
      </c>
      <c r="G353" s="731">
        <f>'Naudas plusma'!G25</f>
        <v>270891.79018799961</v>
      </c>
      <c r="H353" s="731">
        <f>'Naudas plusma'!H25</f>
        <v>310129.69238799956</v>
      </c>
      <c r="I353" s="731">
        <f>'Naudas plusma'!I25</f>
        <v>347447.0096879995</v>
      </c>
      <c r="J353" s="731">
        <f>'Naudas plusma'!J25</f>
        <v>386222.03518799949</v>
      </c>
      <c r="K353" s="731">
        <f>'Naudas plusma'!K25</f>
        <v>426124.05488799949</v>
      </c>
      <c r="L353" s="731">
        <f>'Naudas plusma'!L25</f>
        <v>466656.13078799954</v>
      </c>
      <c r="M353" s="731">
        <f>'Naudas plusma'!M25</f>
        <v>504770.68378799956</v>
      </c>
      <c r="N353" s="731">
        <f>'Naudas plusma'!N25</f>
        <v>534184.14788799954</v>
      </c>
      <c r="O353" s="731">
        <f>'Naudas plusma'!O25</f>
        <v>565817.66818799952</v>
      </c>
      <c r="P353" s="731">
        <f>'Naudas plusma'!P25</f>
        <v>596124.81468799943</v>
      </c>
      <c r="Q353" s="731">
        <f>'Naudas plusma'!Q25</f>
        <v>628153.16648799938</v>
      </c>
      <c r="R353" s="731">
        <f>'Naudas plusma'!R25</f>
        <v>658855.14448799938</v>
      </c>
      <c r="S353" s="731">
        <f>'Naudas plusma'!S25</f>
        <v>691278.32778799941</v>
      </c>
      <c r="T353" s="731">
        <f>'Naudas plusma'!T25</f>
        <v>722375.13728799939</v>
      </c>
      <c r="U353" s="731">
        <f>'Naudas plusma'!U25</f>
        <v>755193.15208799927</v>
      </c>
      <c r="V353" s="731">
        <f>'Naudas plusma'!V25</f>
        <v>787015.50708799926</v>
      </c>
      <c r="W353" s="731">
        <f>'Naudas plusma'!W25</f>
        <v>820559.06738799927</v>
      </c>
      <c r="X353" s="731">
        <f>'Naudas plusma'!X25</f>
        <v>852776.2538879991</v>
      </c>
      <c r="Y353" s="731">
        <f>'Naudas plusma'!Y25</f>
        <v>886714.64568799897</v>
      </c>
      <c r="Z353" s="731">
        <f>'Naudas plusma'!Z25</f>
        <v>919326.66368799889</v>
      </c>
      <c r="AA353" s="731">
        <f>'Naudas plusma'!AA25</f>
        <v>953659.88698799885</v>
      </c>
      <c r="AB353" s="731">
        <f>'Naudas plusma'!AB25</f>
        <v>988886.66358799883</v>
      </c>
      <c r="AC353" s="731">
        <f>'Naudas plusma'!AC25</f>
        <v>1022290.1283879988</v>
      </c>
      <c r="AD353" s="731">
        <f>'Naudas plusma'!AD25</f>
        <v>1056587.1464879988</v>
      </c>
      <c r="AE353" s="731">
        <f>'Naudas plusma'!AE25</f>
        <v>1091777.7178879986</v>
      </c>
      <c r="AF353" s="731">
        <f>'Naudas plusma'!AF25</f>
        <v>1126436.1265879986</v>
      </c>
      <c r="AG353" s="731">
        <f>'Naudas plusma'!AG25</f>
        <v>1160231.6585879987</v>
      </c>
      <c r="AH353" s="731">
        <f>'Naudas plusma'!AH25</f>
        <v>1196542.6069879986</v>
      </c>
      <c r="AI353" s="731">
        <f>'Naudas plusma'!AI25</f>
        <v>1231990.6786879986</v>
      </c>
      <c r="AL353" s="113"/>
      <c r="AN353" s="133"/>
      <c r="AO353" s="112"/>
      <c r="AP353" s="133"/>
      <c r="AQ353" s="112"/>
      <c r="AR353" s="133"/>
      <c r="AU353" s="244"/>
      <c r="AV353" s="244"/>
    </row>
    <row r="354" spans="1:48" s="183" customFormat="1" x14ac:dyDescent="0.2">
      <c r="A354" s="213" t="s">
        <v>207</v>
      </c>
      <c r="B354" s="709">
        <f>'Saimnieciskas pamatdarbibas NP'!B95*'gadu šķirošana'!C64</f>
        <v>34067.239800000003</v>
      </c>
      <c r="C354" s="731">
        <f>'Saimnieciskas pamatdarbibas NP'!C95*'gadu šķirošana'!D64</f>
        <v>31043.239700000002</v>
      </c>
      <c r="D354" s="731">
        <f>'Saimnieciskas pamatdarbibas NP'!D95*'gadu šķirošana'!E64</f>
        <v>29163.564099999996</v>
      </c>
      <c r="E354" s="731">
        <f>'Saimnieciskas pamatdarbibas NP'!E95*'gadu šķirošana'!F64</f>
        <v>30127.515299999999</v>
      </c>
      <c r="F354" s="731">
        <f>'Saimnieciskas pamatdarbibas NP'!F95*'gadu šķirošana'!G64</f>
        <v>30549.004200000003</v>
      </c>
      <c r="G354" s="731">
        <f>'Saimnieciskas pamatdarbibas NP'!G95*'gadu šķirošana'!H64</f>
        <v>31113.486000000001</v>
      </c>
      <c r="H354" s="731">
        <f>'Saimnieciskas pamatdarbibas NP'!H95*'gadu šķirošana'!I64</f>
        <v>31695.373800000001</v>
      </c>
      <c r="I354" s="731">
        <f>'Saimnieciskas pamatdarbibas NP'!I95*'gadu šķirošana'!J64</f>
        <v>32099.456700000006</v>
      </c>
      <c r="J354" s="731">
        <f>'Saimnieciskas pamatdarbibas NP'!J95*'gadu šķirošana'!K64</f>
        <v>32681.344499999996</v>
      </c>
      <c r="K354" s="731">
        <f>'Saimnieciskas pamatdarbibas NP'!K95*'gadu šķirošana'!L64</f>
        <v>33245.826300000001</v>
      </c>
      <c r="L354" s="731">
        <f>'Saimnieciskas pamatdarbibas NP'!L95*'gadu šķirošana'!M64</f>
        <v>33862.526100000003</v>
      </c>
      <c r="M354" s="731">
        <f>'Saimnieciskas pamatdarbibas NP'!M95*'gadu šķirošana'!N64</f>
        <v>34318.827000000005</v>
      </c>
      <c r="N354" s="731">
        <f>'Saimnieciskas pamatdarbibas NP'!N95*'gadu šķirošana'!O64</f>
        <v>34444.413900000007</v>
      </c>
      <c r="O354" s="731">
        <f>'Saimnieciskas pamatdarbibas NP'!O95*'gadu šķirošana'!P64</f>
        <v>35061.113700000002</v>
      </c>
      <c r="P354" s="731">
        <f>'Saimnieciskas pamatdarbibas NP'!P95*'gadu šķirošana'!Q64</f>
        <v>35764.843499999995</v>
      </c>
      <c r="Q354" s="731">
        <f>'Saimnieciskas pamatdarbibas NP'!Q95*'gadu šķirošana'!R64</f>
        <v>36628.972199999997</v>
      </c>
      <c r="R354" s="731">
        <f>'Saimnieciskas pamatdarbibas NP'!R95*'gadu šķirošana'!S64</f>
        <v>37332.702000000005</v>
      </c>
      <c r="S354" s="731">
        <f>'Saimnieciskas pamatdarbibas NP'!S95*'gadu šķirošana'!T64</f>
        <v>38196.830700000006</v>
      </c>
      <c r="T354" s="731">
        <f>'Saimnieciskas pamatdarbibas NP'!T95*'gadu šķirošana'!U64</f>
        <v>38900.5605</v>
      </c>
      <c r="U354" s="731">
        <f>'Saimnieciskas pamatdarbibas NP'!U95*'gadu šķirošana'!V64</f>
        <v>39764.689200000001</v>
      </c>
      <c r="V354" s="731">
        <f>'Saimnieciskas pamatdarbibas NP'!V95*'gadu šķirošana'!W64</f>
        <v>40485.825000000004</v>
      </c>
      <c r="W354" s="731">
        <f>'Saimnieciskas pamatdarbibas NP'!W95*'gadu šķirošana'!X64</f>
        <v>41349.953700000005</v>
      </c>
      <c r="X354" s="731">
        <f>'Saimnieciskas pamatdarbibas NP'!X95*'gadu šķirošana'!Y64</f>
        <v>42053.683499999999</v>
      </c>
      <c r="Y354" s="731">
        <f>'Saimnieciskas pamatdarbibas NP'!Y95*'gadu šķirošana'!Z64</f>
        <v>42917.8122</v>
      </c>
      <c r="Z354" s="731">
        <f>'Saimnieciskas pamatdarbibas NP'!Z95*'gadu šķirošana'!AA64</f>
        <v>43621.542000000001</v>
      </c>
      <c r="AA354" s="731">
        <f>'Saimnieciskas pamatdarbibas NP'!AA95*'gadu šķirošana'!AB64</f>
        <v>44485.670700000002</v>
      </c>
      <c r="AB354" s="731">
        <f>'Saimnieciskas pamatdarbibas NP'!AB95*'gadu šķirošana'!AC64</f>
        <v>45384.611400000002</v>
      </c>
      <c r="AC354" s="731">
        <f>'Saimnieciskas pamatdarbibas NP'!AC95*'gadu šķirošana'!AD64</f>
        <v>46140.559200000003</v>
      </c>
      <c r="AD354" s="731">
        <f>'Saimnieciskas pamatdarbibas NP'!AD95*'gadu šķirošana'!AE64</f>
        <v>47039.499899999995</v>
      </c>
      <c r="AE354" s="731">
        <f>'Saimnieciskas pamatdarbibas NP'!AE95*'gadu šķirošana'!AF64</f>
        <v>47938.440600000002</v>
      </c>
      <c r="AF354" s="731">
        <f>'Saimnieciskas pamatdarbibas NP'!AF95*'gadu šķirošana'!AG64</f>
        <v>48941.81730000001</v>
      </c>
      <c r="AG354" s="731">
        <f>'Saimnieciskas pamatdarbibas NP'!AG95*'gadu šķirošana'!AH64</f>
        <v>49927.788</v>
      </c>
      <c r="AH354" s="731">
        <f>'Saimnieciskas pamatdarbibas NP'!AH95*'gadu šķirošana'!AI64</f>
        <v>51091.563600000001</v>
      </c>
      <c r="AI354" s="731">
        <f>'Saimnieciskas pamatdarbibas NP'!AI95*'gadu šķirošana'!AJ64</f>
        <v>52077.534299999999</v>
      </c>
      <c r="AL354" s="113"/>
      <c r="AN354" s="133"/>
      <c r="AO354" s="112"/>
      <c r="AP354" s="133"/>
      <c r="AQ354" s="112"/>
      <c r="AR354" s="133"/>
      <c r="AU354" s="244"/>
      <c r="AV354" s="244"/>
    </row>
    <row r="355" spans="1:48" s="183" customFormat="1" x14ac:dyDescent="0.2">
      <c r="A355" s="227" t="s">
        <v>208</v>
      </c>
      <c r="B355" s="722">
        <f t="shared" ref="B355:AG355" si="818">B348+B352</f>
        <v>5098367.836000002</v>
      </c>
      <c r="C355" s="722">
        <f>C348+C352</f>
        <v>5292220.7935320027</v>
      </c>
      <c r="D355" s="722">
        <f t="shared" si="818"/>
        <v>5308945.3297880031</v>
      </c>
      <c r="E355" s="722">
        <f t="shared" si="818"/>
        <v>5310920.8516880032</v>
      </c>
      <c r="F355" s="711">
        <f t="shared" si="818"/>
        <v>5310764.040388003</v>
      </c>
      <c r="G355" s="722">
        <f t="shared" si="818"/>
        <v>5311877.2161880024</v>
      </c>
      <c r="H355" s="722">
        <f>H348+H352</f>
        <v>5314465.5061880024</v>
      </c>
      <c r="I355" s="722">
        <f>I348+I352</f>
        <v>5314955.4063880015</v>
      </c>
      <c r="J355" s="722">
        <f>J348+J352</f>
        <v>5317080.8196880016</v>
      </c>
      <c r="K355" s="722">
        <f>K348+K352</f>
        <v>5320315.8211880019</v>
      </c>
      <c r="L355" s="722">
        <f t="shared" si="818"/>
        <v>5324233.096888002</v>
      </c>
      <c r="M355" s="722">
        <f t="shared" si="818"/>
        <v>5325572.4507880015</v>
      </c>
      <c r="N355" s="722">
        <f t="shared" si="818"/>
        <v>5333868.5017880015</v>
      </c>
      <c r="O355" s="722">
        <f t="shared" si="818"/>
        <v>5344875.721888002</v>
      </c>
      <c r="P355" s="722">
        <f t="shared" si="818"/>
        <v>5354643.5981880017</v>
      </c>
      <c r="Q355" s="722">
        <f t="shared" si="818"/>
        <v>5366293.0786880013</v>
      </c>
      <c r="R355" s="722">
        <f t="shared" si="818"/>
        <v>5376455.7864880022</v>
      </c>
      <c r="S355" s="722">
        <f t="shared" si="818"/>
        <v>5388500.0984880021</v>
      </c>
      <c r="T355" s="722">
        <f t="shared" si="818"/>
        <v>5399057.6377880014</v>
      </c>
      <c r="U355" s="722">
        <f t="shared" si="818"/>
        <v>5411496.7812880017</v>
      </c>
      <c r="V355" s="722">
        <f t="shared" si="818"/>
        <v>5422797.2720880015</v>
      </c>
      <c r="W355" s="722">
        <f t="shared" si="818"/>
        <v>5435961.9610880017</v>
      </c>
      <c r="X355" s="722">
        <f t="shared" si="818"/>
        <v>5447639.8773880014</v>
      </c>
      <c r="Y355" s="722">
        <f t="shared" si="818"/>
        <v>5461199.3978880011</v>
      </c>
      <c r="Z355" s="722">
        <f t="shared" si="818"/>
        <v>5473272.1456880011</v>
      </c>
      <c r="AA355" s="722">
        <f t="shared" si="818"/>
        <v>5487226.497688001</v>
      </c>
      <c r="AB355" s="722">
        <f t="shared" si="818"/>
        <v>5502109.2149880007</v>
      </c>
      <c r="AC355" s="722">
        <f t="shared" si="818"/>
        <v>5515025.6275880011</v>
      </c>
      <c r="AD355" s="722">
        <f t="shared" si="818"/>
        <v>5528978.5863880012</v>
      </c>
      <c r="AE355" s="722">
        <f t="shared" si="818"/>
        <v>5543825.0984880012</v>
      </c>
      <c r="AF355" s="722">
        <f t="shared" si="818"/>
        <v>5558243.8838880006</v>
      </c>
      <c r="AG355" s="722">
        <f t="shared" si="818"/>
        <v>5571782.3865880007</v>
      </c>
      <c r="AH355" s="722">
        <f>AH348+AH352</f>
        <v>5588014.1105880011</v>
      </c>
      <c r="AI355" s="722">
        <f>AI348+AI352</f>
        <v>5603205.1529880017</v>
      </c>
      <c r="AL355" s="113"/>
      <c r="AN355" s="133"/>
      <c r="AO355" s="112"/>
      <c r="AP355" s="133"/>
      <c r="AQ355" s="112"/>
      <c r="AR355" s="133"/>
      <c r="AU355" s="244"/>
      <c r="AV355" s="244"/>
    </row>
    <row r="356" spans="1:48" s="183" customFormat="1" x14ac:dyDescent="0.2">
      <c r="A356" s="227" t="s">
        <v>209</v>
      </c>
      <c r="B356" s="722"/>
      <c r="C356" s="722"/>
      <c r="D356" s="722"/>
      <c r="E356" s="722"/>
      <c r="F356" s="711"/>
      <c r="G356" s="722"/>
      <c r="H356" s="722"/>
      <c r="I356" s="722"/>
      <c r="J356" s="722"/>
      <c r="K356" s="722"/>
      <c r="L356" s="722"/>
      <c r="M356" s="722"/>
      <c r="N356" s="722"/>
      <c r="O356" s="722"/>
      <c r="P356" s="722"/>
      <c r="Q356" s="722"/>
      <c r="R356" s="722"/>
      <c r="S356" s="722"/>
      <c r="T356" s="722"/>
      <c r="U356" s="722"/>
      <c r="V356" s="722"/>
      <c r="W356" s="722"/>
      <c r="X356" s="722"/>
      <c r="Y356" s="722"/>
      <c r="Z356" s="722"/>
      <c r="AA356" s="722"/>
      <c r="AB356" s="722"/>
      <c r="AC356" s="722"/>
      <c r="AD356" s="722"/>
      <c r="AE356" s="722"/>
      <c r="AF356" s="722"/>
      <c r="AG356" s="722"/>
      <c r="AH356" s="722"/>
      <c r="AI356" s="722"/>
      <c r="AL356" s="113"/>
      <c r="AN356" s="133"/>
      <c r="AO356" s="112"/>
      <c r="AP356" s="133"/>
      <c r="AQ356" s="112"/>
      <c r="AR356" s="133"/>
      <c r="AU356" s="244"/>
      <c r="AV356" s="244"/>
    </row>
    <row r="357" spans="1:48" s="183" customFormat="1" x14ac:dyDescent="0.2">
      <c r="A357" s="227" t="s">
        <v>210</v>
      </c>
      <c r="B357" s="722">
        <f t="shared" ref="B357:AG357" si="819">SUM(B358:B359)</f>
        <v>7911819.8959999997</v>
      </c>
      <c r="C357" s="722">
        <f t="shared" si="819"/>
        <v>8020186.9467000002</v>
      </c>
      <c r="D357" s="722">
        <f t="shared" si="819"/>
        <v>8058465.9352358952</v>
      </c>
      <c r="E357" s="722">
        <f t="shared" si="819"/>
        <v>8103447.30878329</v>
      </c>
      <c r="F357" s="711">
        <f t="shared" si="819"/>
        <v>8147260.3003306845</v>
      </c>
      <c r="G357" s="722">
        <f t="shared" si="819"/>
        <v>8192764.7678780798</v>
      </c>
      <c r="H357" s="722">
        <f>SUM(H358:H359)</f>
        <v>8240308.831425475</v>
      </c>
      <c r="I357" s="722">
        <f>SUM(I358:I359)</f>
        <v>8286336.3929728698</v>
      </c>
      <c r="J357" s="722">
        <f>SUM(J358:J359)</f>
        <v>8334403.5505202645</v>
      </c>
      <c r="K357" s="722">
        <f>SUM(K358:K359)</f>
        <v>8384162.1840676591</v>
      </c>
      <c r="L357" s="722">
        <f t="shared" si="819"/>
        <v>8435167.5736150555</v>
      </c>
      <c r="M357" s="722">
        <f t="shared" si="819"/>
        <v>8484211.7411624491</v>
      </c>
      <c r="N357" s="722">
        <f t="shared" si="819"/>
        <v>8533006.5173734296</v>
      </c>
      <c r="O357" s="722">
        <f t="shared" si="819"/>
        <v>8579638.0495844092</v>
      </c>
      <c r="P357" s="722">
        <f t="shared" si="819"/>
        <v>8625646.9377953894</v>
      </c>
      <c r="Q357" s="722">
        <f t="shared" si="819"/>
        <v>8674241.1600063704</v>
      </c>
      <c r="R357" s="722">
        <f t="shared" si="819"/>
        <v>8722212.7382173501</v>
      </c>
      <c r="S357" s="722">
        <f t="shared" si="819"/>
        <v>8772769.6504283287</v>
      </c>
      <c r="T357" s="722">
        <f t="shared" si="819"/>
        <v>8822703.9186393097</v>
      </c>
      <c r="U357" s="722">
        <f t="shared" si="819"/>
        <v>8875223.5208502896</v>
      </c>
      <c r="V357" s="722">
        <f t="shared" si="819"/>
        <v>8927468.5990612693</v>
      </c>
      <c r="W357" s="722">
        <f t="shared" si="819"/>
        <v>8982299.0112722497</v>
      </c>
      <c r="X357" s="722">
        <f t="shared" si="819"/>
        <v>9036506.7794832289</v>
      </c>
      <c r="Y357" s="722">
        <f t="shared" si="819"/>
        <v>9093299.8816942088</v>
      </c>
      <c r="Z357" s="722">
        <f t="shared" si="819"/>
        <v>9149470.3399051894</v>
      </c>
      <c r="AA357" s="722">
        <f t="shared" si="819"/>
        <v>9208226.1321161687</v>
      </c>
      <c r="AB357" s="722">
        <f t="shared" si="819"/>
        <v>9268774.418327149</v>
      </c>
      <c r="AC357" s="722">
        <f t="shared" si="819"/>
        <v>9328255.3405381292</v>
      </c>
      <c r="AD357" s="722">
        <f t="shared" si="819"/>
        <v>9389528.7567491084</v>
      </c>
      <c r="AE357" s="722">
        <f t="shared" si="819"/>
        <v>9452594.6669600885</v>
      </c>
      <c r="AF357" s="722">
        <f t="shared" si="819"/>
        <v>9516131.7911710702</v>
      </c>
      <c r="AG357" s="722">
        <f t="shared" si="819"/>
        <v>9579792.0093820486</v>
      </c>
      <c r="AH357" s="722">
        <f>SUM(AH358:AH359)</f>
        <v>9647131.4195930287</v>
      </c>
      <c r="AI357" s="722">
        <f>SUM(AI358:AI359)</f>
        <v>9714593.9238040093</v>
      </c>
      <c r="AL357" s="113"/>
      <c r="AN357" s="133"/>
      <c r="AO357" s="112"/>
      <c r="AP357" s="133"/>
      <c r="AQ357" s="112"/>
      <c r="AR357" s="133"/>
      <c r="AU357" s="244"/>
      <c r="AV357" s="244"/>
    </row>
    <row r="358" spans="1:48" s="183" customFormat="1" x14ac:dyDescent="0.2">
      <c r="A358" s="57" t="s">
        <v>211</v>
      </c>
      <c r="B358" s="709">
        <f>'Datu ievade'!B175</f>
        <v>7505223</v>
      </c>
      <c r="C358" s="710">
        <f>B358+'Datu ievade'!B163</f>
        <v>7505223</v>
      </c>
      <c r="D358" s="710">
        <f>C358+'Datu ievade'!C163</f>
        <v>7505223</v>
      </c>
      <c r="E358" s="710">
        <f>D358+'Datu ievade'!D163</f>
        <v>7505223</v>
      </c>
      <c r="F358" s="710">
        <f>E358+'Datu ievade'!E163</f>
        <v>7505223</v>
      </c>
      <c r="G358" s="710">
        <f>F358+'Datu ievade'!F163</f>
        <v>7505223</v>
      </c>
      <c r="H358" s="710">
        <f>G358+'Datu ievade'!G163</f>
        <v>7505223</v>
      </c>
      <c r="I358" s="710">
        <f>H358+'Datu ievade'!H163</f>
        <v>7505223</v>
      </c>
      <c r="J358" s="710">
        <f>I358+'Datu ievade'!I163</f>
        <v>7505223</v>
      </c>
      <c r="K358" s="710">
        <f>J358+'Datu ievade'!J163</f>
        <v>7505223</v>
      </c>
      <c r="L358" s="710">
        <f>K358+'Datu ievade'!K163</f>
        <v>7505223</v>
      </c>
      <c r="M358" s="710">
        <f>L358+'Datu ievade'!L163</f>
        <v>7505223</v>
      </c>
      <c r="N358" s="710">
        <f>M358+'Datu ievade'!M163</f>
        <v>7505223</v>
      </c>
      <c r="O358" s="710">
        <f>N358+'Datu ievade'!N163</f>
        <v>7505223</v>
      </c>
      <c r="P358" s="710">
        <f>O358+'Datu ievade'!O163</f>
        <v>7505223</v>
      </c>
      <c r="Q358" s="710">
        <f>P358+'Datu ievade'!P163</f>
        <v>7505223</v>
      </c>
      <c r="R358" s="710">
        <f>Q358+'Datu ievade'!Q163</f>
        <v>7505223</v>
      </c>
      <c r="S358" s="710">
        <f>R358+'Datu ievade'!R163</f>
        <v>7505223</v>
      </c>
      <c r="T358" s="710">
        <f>S358+'Datu ievade'!S163</f>
        <v>7505223</v>
      </c>
      <c r="U358" s="710">
        <f>T358+'Datu ievade'!T163</f>
        <v>7505223</v>
      </c>
      <c r="V358" s="710">
        <f>U358+'Datu ievade'!U163</f>
        <v>7505223</v>
      </c>
      <c r="W358" s="710">
        <f>V358+'Datu ievade'!V163</f>
        <v>7505223</v>
      </c>
      <c r="X358" s="710">
        <f>W358+'Datu ievade'!W163</f>
        <v>7505223</v>
      </c>
      <c r="Y358" s="710">
        <f>X358+'Datu ievade'!X163</f>
        <v>7505223</v>
      </c>
      <c r="Z358" s="710">
        <f>Y358+'Datu ievade'!Y163</f>
        <v>7505223</v>
      </c>
      <c r="AA358" s="710">
        <f>Z358+'Datu ievade'!Z163</f>
        <v>7505223</v>
      </c>
      <c r="AB358" s="710">
        <f>AA358+'Datu ievade'!AA163</f>
        <v>7505223</v>
      </c>
      <c r="AC358" s="710">
        <f>AB358+'Datu ievade'!AB163</f>
        <v>7505223</v>
      </c>
      <c r="AD358" s="710">
        <f>AC358+'Datu ievade'!AC163</f>
        <v>7505223</v>
      </c>
      <c r="AE358" s="710">
        <f>AD358+'Datu ievade'!AD163</f>
        <v>7505223</v>
      </c>
      <c r="AF358" s="710">
        <f>AE358+'Datu ievade'!AE163</f>
        <v>7505223</v>
      </c>
      <c r="AG358" s="710">
        <f>AF358+'Datu ievade'!AF163</f>
        <v>7505223</v>
      </c>
      <c r="AH358" s="710">
        <f>AG358+'Datu ievade'!AG163</f>
        <v>7505223</v>
      </c>
      <c r="AI358" s="710">
        <f>AH358+'Datu ievade'!AH163</f>
        <v>7505223</v>
      </c>
      <c r="AL358" s="113"/>
      <c r="AN358" s="133"/>
      <c r="AO358" s="112"/>
      <c r="AP358" s="133"/>
      <c r="AQ358" s="112"/>
      <c r="AR358" s="133"/>
      <c r="AU358" s="244"/>
      <c r="AV358" s="244"/>
    </row>
    <row r="359" spans="1:48" s="183" customFormat="1" x14ac:dyDescent="0.2">
      <c r="A359" s="213" t="s">
        <v>212</v>
      </c>
      <c r="B359" s="731">
        <f>B360+B361</f>
        <v>406596.89599999995</v>
      </c>
      <c r="C359" s="731">
        <f>C360+C361</f>
        <v>514963.94669999997</v>
      </c>
      <c r="D359" s="731">
        <f t="shared" ref="D359:AH359" si="820">D360+D361</f>
        <v>553242.93523589487</v>
      </c>
      <c r="E359" s="731">
        <f t="shared" si="820"/>
        <v>598224.30878328986</v>
      </c>
      <c r="F359" s="731">
        <f t="shared" si="820"/>
        <v>642037.30033068475</v>
      </c>
      <c r="G359" s="731">
        <f t="shared" si="820"/>
        <v>687541.76787807967</v>
      </c>
      <c r="H359" s="731">
        <f>H360+H361</f>
        <v>735085.83142547461</v>
      </c>
      <c r="I359" s="731">
        <f>I360+I361</f>
        <v>781113.39297286957</v>
      </c>
      <c r="J359" s="731">
        <f>J360+J361</f>
        <v>829180.55052026454</v>
      </c>
      <c r="K359" s="731">
        <f>K360+K361</f>
        <v>878939.18406765955</v>
      </c>
      <c r="L359" s="731">
        <f t="shared" si="820"/>
        <v>929944.5736150546</v>
      </c>
      <c r="M359" s="731">
        <f t="shared" si="820"/>
        <v>978988.74116244959</v>
      </c>
      <c r="N359" s="731">
        <f t="shared" si="820"/>
        <v>1027783.5173734296</v>
      </c>
      <c r="O359" s="731">
        <f t="shared" si="820"/>
        <v>1074415.0495844097</v>
      </c>
      <c r="P359" s="731">
        <f t="shared" si="820"/>
        <v>1120423.9377953894</v>
      </c>
      <c r="Q359" s="731">
        <f t="shared" si="820"/>
        <v>1169018.1600063695</v>
      </c>
      <c r="R359" s="731">
        <f t="shared" si="820"/>
        <v>1216989.7382173496</v>
      </c>
      <c r="S359" s="731">
        <f t="shared" si="820"/>
        <v>1267546.6504283296</v>
      </c>
      <c r="T359" s="731">
        <f t="shared" si="820"/>
        <v>1317480.9186393097</v>
      </c>
      <c r="U359" s="731">
        <f t="shared" si="820"/>
        <v>1370000.5208502896</v>
      </c>
      <c r="V359" s="731">
        <f t="shared" si="820"/>
        <v>1422245.5990612695</v>
      </c>
      <c r="W359" s="731">
        <f t="shared" si="820"/>
        <v>1477076.0112722495</v>
      </c>
      <c r="X359" s="731">
        <f t="shared" si="820"/>
        <v>1531283.7794832294</v>
      </c>
      <c r="Y359" s="731">
        <f t="shared" si="820"/>
        <v>1588076.8816942093</v>
      </c>
      <c r="Z359" s="731">
        <f t="shared" si="820"/>
        <v>1644247.3399051894</v>
      </c>
      <c r="AA359" s="731">
        <f t="shared" si="820"/>
        <v>1703003.1321161692</v>
      </c>
      <c r="AB359" s="731">
        <f t="shared" si="820"/>
        <v>1763551.4183271492</v>
      </c>
      <c r="AC359" s="731">
        <f t="shared" si="820"/>
        <v>1823032.3405381292</v>
      </c>
      <c r="AD359" s="731">
        <f t="shared" si="820"/>
        <v>1884305.7567491091</v>
      </c>
      <c r="AE359" s="731">
        <f t="shared" si="820"/>
        <v>1947371.666960089</v>
      </c>
      <c r="AF359" s="731">
        <f t="shared" si="820"/>
        <v>2010908.7911710693</v>
      </c>
      <c r="AG359" s="731">
        <f t="shared" si="820"/>
        <v>2074569.0093820493</v>
      </c>
      <c r="AH359" s="731">
        <f t="shared" si="820"/>
        <v>2141908.4195930292</v>
      </c>
      <c r="AI359" s="731">
        <f>AI360+AI361</f>
        <v>2209370.9238040093</v>
      </c>
      <c r="AL359" s="113"/>
      <c r="AN359" s="133"/>
      <c r="AO359" s="112"/>
      <c r="AP359" s="133"/>
      <c r="AQ359" s="112"/>
      <c r="AR359" s="133"/>
      <c r="AU359" s="244"/>
      <c r="AV359" s="244"/>
    </row>
    <row r="360" spans="1:48" s="183" customFormat="1" x14ac:dyDescent="0.2">
      <c r="A360" s="245" t="s">
        <v>213</v>
      </c>
      <c r="B360" s="731">
        <f>Aprekini!B341</f>
        <v>183168.89599999995</v>
      </c>
      <c r="C360" s="731">
        <f>Aprekini!C341</f>
        <v>108367.05070000002</v>
      </c>
      <c r="D360" s="731">
        <f>Aprekini!D341</f>
        <v>38278.988535894896</v>
      </c>
      <c r="E360" s="731">
        <f>Aprekini!E341</f>
        <v>44981.373547394993</v>
      </c>
      <c r="F360" s="730">
        <f>Aprekini!F341</f>
        <v>43812.991547394893</v>
      </c>
      <c r="G360" s="731">
        <f>Aprekini!G341</f>
        <v>45504.467547394917</v>
      </c>
      <c r="H360" s="731">
        <f>Aprekini!H341</f>
        <v>47544.063547394937</v>
      </c>
      <c r="I360" s="731">
        <f>Aprekini!I341</f>
        <v>46027.561547394958</v>
      </c>
      <c r="J360" s="731">
        <f>Aprekini!J341</f>
        <v>48067.157547394978</v>
      </c>
      <c r="K360" s="731">
        <f>Aprekini!K341</f>
        <v>49758.633547395002</v>
      </c>
      <c r="L360" s="731">
        <f>Aprekini!L341</f>
        <v>51005.389547395054</v>
      </c>
      <c r="M360" s="731">
        <f>Aprekini!M341</f>
        <v>49044.167547394987</v>
      </c>
      <c r="N360" s="731">
        <f>Aprekini!N341</f>
        <v>48794.776210980024</v>
      </c>
      <c r="O360" s="731">
        <f>Aprekini!O341</f>
        <v>46631.53221097996</v>
      </c>
      <c r="P360" s="731">
        <f>Aprekini!P341</f>
        <v>46008.888210979872</v>
      </c>
      <c r="Q360" s="731">
        <f>Aprekini!Q341</f>
        <v>48594.222210979904</v>
      </c>
      <c r="R360" s="731">
        <f>Aprekini!R341</f>
        <v>47971.578210980049</v>
      </c>
      <c r="S360" s="731">
        <f>Aprekini!S341</f>
        <v>50556.912210980081</v>
      </c>
      <c r="T360" s="731">
        <f>Aprekini!T341</f>
        <v>49934.268210979993</v>
      </c>
      <c r="U360" s="731">
        <f>Aprekini!U341</f>
        <v>52519.602210979909</v>
      </c>
      <c r="V360" s="731">
        <f>Aprekini!V341</f>
        <v>52245.078210979933</v>
      </c>
      <c r="W360" s="731">
        <f>Aprekini!W341</f>
        <v>54830.412210979965</v>
      </c>
      <c r="X360" s="731">
        <f>Aprekini!X341</f>
        <v>54207.768210979877</v>
      </c>
      <c r="Y360" s="731">
        <f>Aprekini!Y341</f>
        <v>56793.102210979909</v>
      </c>
      <c r="Z360" s="731">
        <f>Aprekini!Z341</f>
        <v>56170.458210979938</v>
      </c>
      <c r="AA360" s="731">
        <f>Aprekini!AA341</f>
        <v>58755.792210979969</v>
      </c>
      <c r="AB360" s="731">
        <f>Aprekini!AB341</f>
        <v>60548.286210980034</v>
      </c>
      <c r="AC360" s="731">
        <f>Aprekini!AC341</f>
        <v>59480.922210979974</v>
      </c>
      <c r="AD360" s="731">
        <f>Aprekini!AD341</f>
        <v>61273.416210979922</v>
      </c>
      <c r="AE360" s="731">
        <f>Aprekini!AE341</f>
        <v>63065.91021097987</v>
      </c>
      <c r="AF360" s="731">
        <f>Aprekini!AF341</f>
        <v>63537.124210980139</v>
      </c>
      <c r="AG360" s="731">
        <f>Aprekini!AG341</f>
        <v>63660.218210980063</v>
      </c>
      <c r="AH360" s="731">
        <f>Aprekini!AH341</f>
        <v>67339.410210979986</v>
      </c>
      <c r="AI360" s="731">
        <f>Aprekini!AI341</f>
        <v>67462.504210979911</v>
      </c>
      <c r="AL360" s="113"/>
      <c r="AN360" s="133"/>
      <c r="AO360" s="112"/>
      <c r="AP360" s="133"/>
      <c r="AQ360" s="112"/>
      <c r="AR360" s="133"/>
      <c r="AU360" s="244"/>
      <c r="AV360" s="244"/>
    </row>
    <row r="361" spans="1:48" s="183" customFormat="1" x14ac:dyDescent="0.2">
      <c r="A361" s="245" t="s">
        <v>214</v>
      </c>
      <c r="B361" s="709">
        <f>'Datu ievade'!B176</f>
        <v>223428</v>
      </c>
      <c r="C361" s="731">
        <f>B360+B361</f>
        <v>406596.89599999995</v>
      </c>
      <c r="D361" s="731">
        <f t="shared" ref="D361:AG361" si="821">C361+C360</f>
        <v>514963.94669999997</v>
      </c>
      <c r="E361" s="731">
        <f t="shared" si="821"/>
        <v>553242.93523589487</v>
      </c>
      <c r="F361" s="730">
        <f t="shared" si="821"/>
        <v>598224.30878328986</v>
      </c>
      <c r="G361" s="731">
        <f t="shared" si="821"/>
        <v>642037.30033068475</v>
      </c>
      <c r="H361" s="731">
        <f>G361+G360</f>
        <v>687541.76787807967</v>
      </c>
      <c r="I361" s="731">
        <f>H361+H360</f>
        <v>735085.83142547461</v>
      </c>
      <c r="J361" s="731">
        <f>I361+I360</f>
        <v>781113.39297286957</v>
      </c>
      <c r="K361" s="731">
        <f>J361+J360</f>
        <v>829180.55052026454</v>
      </c>
      <c r="L361" s="731">
        <f t="shared" si="821"/>
        <v>878939.18406765955</v>
      </c>
      <c r="M361" s="731">
        <f t="shared" si="821"/>
        <v>929944.5736150546</v>
      </c>
      <c r="N361" s="731">
        <f t="shared" si="821"/>
        <v>978988.74116244959</v>
      </c>
      <c r="O361" s="731">
        <f t="shared" si="821"/>
        <v>1027783.5173734296</v>
      </c>
      <c r="P361" s="731">
        <f t="shared" si="821"/>
        <v>1074415.0495844097</v>
      </c>
      <c r="Q361" s="731">
        <f t="shared" si="821"/>
        <v>1120423.9377953894</v>
      </c>
      <c r="R361" s="731">
        <f t="shared" si="821"/>
        <v>1169018.1600063695</v>
      </c>
      <c r="S361" s="731">
        <f t="shared" si="821"/>
        <v>1216989.7382173496</v>
      </c>
      <c r="T361" s="731">
        <f t="shared" si="821"/>
        <v>1267546.6504283296</v>
      </c>
      <c r="U361" s="731">
        <f t="shared" si="821"/>
        <v>1317480.9186393097</v>
      </c>
      <c r="V361" s="731">
        <f t="shared" si="821"/>
        <v>1370000.5208502896</v>
      </c>
      <c r="W361" s="731">
        <f t="shared" si="821"/>
        <v>1422245.5990612695</v>
      </c>
      <c r="X361" s="731">
        <f t="shared" si="821"/>
        <v>1477076.0112722495</v>
      </c>
      <c r="Y361" s="731">
        <f t="shared" si="821"/>
        <v>1531283.7794832294</v>
      </c>
      <c r="Z361" s="731">
        <f t="shared" si="821"/>
        <v>1588076.8816942093</v>
      </c>
      <c r="AA361" s="731">
        <f t="shared" si="821"/>
        <v>1644247.3399051894</v>
      </c>
      <c r="AB361" s="731">
        <f t="shared" si="821"/>
        <v>1703003.1321161692</v>
      </c>
      <c r="AC361" s="731">
        <f t="shared" si="821"/>
        <v>1763551.4183271492</v>
      </c>
      <c r="AD361" s="731">
        <f t="shared" si="821"/>
        <v>1823032.3405381292</v>
      </c>
      <c r="AE361" s="731">
        <f t="shared" si="821"/>
        <v>1884305.7567491091</v>
      </c>
      <c r="AF361" s="731">
        <f t="shared" si="821"/>
        <v>1947371.666960089</v>
      </c>
      <c r="AG361" s="731">
        <f t="shared" si="821"/>
        <v>2010908.7911710693</v>
      </c>
      <c r="AH361" s="731">
        <f>AG361+AG360</f>
        <v>2074569.0093820493</v>
      </c>
      <c r="AI361" s="731">
        <f>AH361+AH360</f>
        <v>2141908.4195930292</v>
      </c>
      <c r="AL361" s="113"/>
      <c r="AN361" s="138"/>
      <c r="AO361" s="137"/>
      <c r="AP361" s="138"/>
      <c r="AQ361" s="137"/>
      <c r="AR361" s="138"/>
      <c r="AS361" s="137"/>
      <c r="AT361" s="137"/>
      <c r="AU361" s="244"/>
      <c r="AV361" s="244"/>
    </row>
    <row r="362" spans="1:48" s="183" customFormat="1" x14ac:dyDescent="0.2">
      <c r="A362" s="227" t="s">
        <v>215</v>
      </c>
      <c r="B362" s="739">
        <f>B355-B357-B364-B363</f>
        <v>-2813452.0599999977</v>
      </c>
      <c r="C362" s="740">
        <f>C309+C363+'Datu ievade'!B170+SUM('Datu ievade'!$B$160:B160)</f>
        <v>218757.55070000002</v>
      </c>
      <c r="D362" s="740">
        <f>D309+D363+'Datu ievade'!C170+SUM('Datu ievade'!$B$160:C160)</f>
        <v>228246.33812010504</v>
      </c>
      <c r="E362" s="740">
        <f>E309+E363+'Datu ievade'!D170+SUM('Datu ievade'!$B$160:D160)</f>
        <v>214404.05057271002</v>
      </c>
      <c r="F362" s="740">
        <f>F309+F363+'Datu ievade'!E170+SUM('Datu ievade'!$B$160:E160)</f>
        <v>200561.76302531501</v>
      </c>
      <c r="G362" s="740">
        <f>G309+G363+'Datu ievade'!F170+SUM('Datu ievade'!$B$160:F160)</f>
        <v>186719.47547792003</v>
      </c>
      <c r="H362" s="740">
        <f>H309+H363+'Datu ievade'!G170+SUM('Datu ievade'!$B$160:G160)</f>
        <v>172877.18793052505</v>
      </c>
      <c r="I362" s="740">
        <f>I309+I363+'Datu ievade'!H170+SUM('Datu ievade'!$B$160:H160)</f>
        <v>159034.90038313004</v>
      </c>
      <c r="J362" s="740">
        <f>J309+J363+'Datu ievade'!I170+SUM('Datu ievade'!$B$160:I160)</f>
        <v>145192.61283573502</v>
      </c>
      <c r="K362" s="740">
        <f>K309+K363+'Datu ievade'!J170+SUM('Datu ievade'!$B$160:J160)</f>
        <v>131350.32528834004</v>
      </c>
      <c r="L362" s="740">
        <f>L309+L363+'Datu ievade'!K170+SUM('Datu ievade'!$B$160:K160)</f>
        <v>117508.03774094504</v>
      </c>
      <c r="M362" s="740">
        <f>M309+M363+'Datu ievade'!L170+SUM('Datu ievade'!$B$160:L160)</f>
        <v>103665.75019355005</v>
      </c>
      <c r="N362" s="740">
        <f>N309+N363+'Datu ievade'!M170+SUM('Datu ievade'!$B$160:M160)</f>
        <v>97485.85198257005</v>
      </c>
      <c r="O362" s="740">
        <f>O309+O363+'Datu ievade'!N170+SUM('Datu ievade'!$B$160:N160)</f>
        <v>96305.953771590051</v>
      </c>
      <c r="P362" s="740">
        <f>P309+P363+'Datu ievade'!O170+SUM('Datu ievade'!$B$160:O160)</f>
        <v>95126.055560610053</v>
      </c>
      <c r="Q362" s="740">
        <f>Q309+Q363+'Datu ievade'!P170+SUM('Datu ievade'!$B$160:P160)</f>
        <v>93946.157349630055</v>
      </c>
      <c r="R362" s="740">
        <f>R309+R363+'Datu ievade'!Q170+SUM('Datu ievade'!$B$160:Q160)</f>
        <v>92766.259138650057</v>
      </c>
      <c r="S362" s="740">
        <f>S309+S363+'Datu ievade'!R170+SUM('Datu ievade'!$B$160:R160)</f>
        <v>91586.360927670059</v>
      </c>
      <c r="T362" s="740">
        <f>T309+T363+'Datu ievade'!S170+SUM('Datu ievade'!$B$160:S160)</f>
        <v>90406.462716690061</v>
      </c>
      <c r="U362" s="740">
        <f>U309+U363+'Datu ievade'!T170+SUM('Datu ievade'!$B$160:T160)</f>
        <v>89226.564505710063</v>
      </c>
      <c r="V362" s="740">
        <f>V309+V363+'Datu ievade'!U170+SUM('Datu ievade'!$B$160:U160)</f>
        <v>88046.666294730065</v>
      </c>
      <c r="W362" s="740">
        <f>W309+W363+'Datu ievade'!V170+SUM('Datu ievade'!$B$160:V160)</f>
        <v>86866.768083750067</v>
      </c>
      <c r="X362" s="740">
        <f>X309+X363+'Datu ievade'!W170+SUM('Datu ievade'!$B$160:W160)</f>
        <v>85686.869872770068</v>
      </c>
      <c r="Y362" s="740">
        <f>Y309+Y363+'Datu ievade'!X170+SUM('Datu ievade'!$B$160:X160)</f>
        <v>84506.97166179007</v>
      </c>
      <c r="Z362" s="740">
        <f>Z309+Z363+'Datu ievade'!Y170+SUM('Datu ievade'!$B$160:Y160)</f>
        <v>83327.073450810072</v>
      </c>
      <c r="AA362" s="740">
        <f>AA309+AA363+'Datu ievade'!Z170+SUM('Datu ievade'!$B$160:Z160)</f>
        <v>82147.175239830074</v>
      </c>
      <c r="AB362" s="740">
        <f>AB309+AB363+'Datu ievade'!AA170+SUM('Datu ievade'!$B$160:AA160)</f>
        <v>80967.277028850076</v>
      </c>
      <c r="AC362" s="740">
        <f>AC309+AC363+'Datu ievade'!AB170+SUM('Datu ievade'!$B$160:AB160)</f>
        <v>79787.378817870078</v>
      </c>
      <c r="AD362" s="740">
        <f>AD309+AD363+'Datu ievade'!AC170+SUM('Datu ievade'!$B$160:AC160)</f>
        <v>78607.48060689008</v>
      </c>
      <c r="AE362" s="740">
        <f>AE309+AE363+'Datu ievade'!AD170+SUM('Datu ievade'!$B$160:AD160)</f>
        <v>77427.582395910082</v>
      </c>
      <c r="AF362" s="740">
        <f>AF309+AF363+'Datu ievade'!AE170+SUM('Datu ievade'!$B$160:AE160)</f>
        <v>76247.684184930084</v>
      </c>
      <c r="AG362" s="740">
        <f>AG309+AG363+'Datu ievade'!AF170+SUM('Datu ievade'!$B$160:AF160)</f>
        <v>75067.785973950085</v>
      </c>
      <c r="AH362" s="740">
        <f>AH309+AH363+'Datu ievade'!AG170+SUM('Datu ievade'!$B$160:AG160)</f>
        <v>73887.887762970087</v>
      </c>
      <c r="AI362" s="740">
        <f>AI309+AI363+'Datu ievade'!AH170+SUM('Datu ievade'!$B$160:AH160)</f>
        <v>72707.989551990089</v>
      </c>
      <c r="AL362" s="113"/>
      <c r="AN362" s="138"/>
      <c r="AO362" s="137"/>
      <c r="AP362" s="138"/>
      <c r="AQ362" s="137"/>
      <c r="AR362" s="138"/>
      <c r="AS362" s="137"/>
      <c r="AT362" s="137"/>
      <c r="AU362" s="244"/>
      <c r="AV362" s="244"/>
    </row>
    <row r="363" spans="1:48" s="183" customFormat="1" x14ac:dyDescent="0.2">
      <c r="A363" s="245" t="s">
        <v>216</v>
      </c>
      <c r="B363" s="731">
        <f t="shared" ref="B363:F363" si="822">B372</f>
        <v>0</v>
      </c>
      <c r="C363" s="731">
        <f t="shared" si="822"/>
        <v>118757.55070000002</v>
      </c>
      <c r="D363" s="731">
        <f t="shared" si="822"/>
        <v>128246.33812010502</v>
      </c>
      <c r="E363" s="731">
        <f t="shared" si="822"/>
        <v>119404.05057271002</v>
      </c>
      <c r="F363" s="731">
        <f t="shared" si="822"/>
        <v>110561.76302531503</v>
      </c>
      <c r="G363" s="731">
        <f>G372</f>
        <v>101719.47547792003</v>
      </c>
      <c r="H363" s="731">
        <f t="shared" ref="H363:AI363" si="823">H372</f>
        <v>92877.187930525033</v>
      </c>
      <c r="I363" s="731">
        <f t="shared" si="823"/>
        <v>84034.900383130036</v>
      </c>
      <c r="J363" s="731">
        <f t="shared" si="823"/>
        <v>75192.612835735039</v>
      </c>
      <c r="K363" s="731">
        <f t="shared" si="823"/>
        <v>66350.325288340042</v>
      </c>
      <c r="L363" s="731">
        <f t="shared" si="823"/>
        <v>57508.037740945045</v>
      </c>
      <c r="M363" s="731">
        <f t="shared" si="823"/>
        <v>48665.750193550048</v>
      </c>
      <c r="N363" s="731">
        <f t="shared" si="823"/>
        <v>47485.85198257005</v>
      </c>
      <c r="O363" s="731">
        <f t="shared" si="823"/>
        <v>46305.953771590051</v>
      </c>
      <c r="P363" s="731">
        <f t="shared" si="823"/>
        <v>45126.055560610053</v>
      </c>
      <c r="Q363" s="731">
        <f t="shared" si="823"/>
        <v>43946.157349630055</v>
      </c>
      <c r="R363" s="731">
        <f t="shared" si="823"/>
        <v>42766.259138650057</v>
      </c>
      <c r="S363" s="731">
        <f t="shared" si="823"/>
        <v>41586.360927670059</v>
      </c>
      <c r="T363" s="731">
        <f t="shared" si="823"/>
        <v>40406.462716690061</v>
      </c>
      <c r="U363" s="731">
        <f t="shared" si="823"/>
        <v>39226.564505710063</v>
      </c>
      <c r="V363" s="731">
        <f t="shared" si="823"/>
        <v>38046.666294730065</v>
      </c>
      <c r="W363" s="731">
        <f t="shared" si="823"/>
        <v>36866.768083750067</v>
      </c>
      <c r="X363" s="731">
        <f t="shared" si="823"/>
        <v>35686.869872770068</v>
      </c>
      <c r="Y363" s="731">
        <f t="shared" si="823"/>
        <v>34506.97166179007</v>
      </c>
      <c r="Z363" s="731">
        <f t="shared" si="823"/>
        <v>33327.073450810072</v>
      </c>
      <c r="AA363" s="731">
        <f t="shared" si="823"/>
        <v>32147.175239830074</v>
      </c>
      <c r="AB363" s="731">
        <f t="shared" si="823"/>
        <v>30967.277028850076</v>
      </c>
      <c r="AC363" s="731">
        <f t="shared" si="823"/>
        <v>29787.378817870078</v>
      </c>
      <c r="AD363" s="731">
        <f t="shared" si="823"/>
        <v>28607.48060689008</v>
      </c>
      <c r="AE363" s="731">
        <f t="shared" si="823"/>
        <v>27427.582395910082</v>
      </c>
      <c r="AF363" s="731">
        <f t="shared" si="823"/>
        <v>26247.684184930084</v>
      </c>
      <c r="AG363" s="731">
        <f t="shared" si="823"/>
        <v>25067.785973950085</v>
      </c>
      <c r="AH363" s="731">
        <f t="shared" si="823"/>
        <v>23887.887762970087</v>
      </c>
      <c r="AI363" s="731">
        <f t="shared" si="823"/>
        <v>22707.989551990089</v>
      </c>
      <c r="AL363" s="113"/>
      <c r="AN363" s="138"/>
      <c r="AO363" s="137"/>
      <c r="AP363" s="138"/>
      <c r="AQ363" s="137"/>
      <c r="AR363" s="138"/>
      <c r="AS363" s="137"/>
      <c r="AT363" s="137"/>
      <c r="AU363" s="244"/>
      <c r="AV363" s="244"/>
    </row>
    <row r="364" spans="1:48" s="183" customFormat="1" x14ac:dyDescent="0.2">
      <c r="A364" s="227" t="s">
        <v>217</v>
      </c>
      <c r="B364" s="722">
        <f>B365</f>
        <v>0</v>
      </c>
      <c r="C364" s="722">
        <f t="shared" ref="C364:AI364" si="824">C365</f>
        <v>0</v>
      </c>
      <c r="D364" s="722">
        <f t="shared" si="824"/>
        <v>7955.6865358949999</v>
      </c>
      <c r="E364" s="722">
        <f t="shared" si="824"/>
        <v>8842.2875473950007</v>
      </c>
      <c r="F364" s="722">
        <f t="shared" si="824"/>
        <v>8842.2875473950007</v>
      </c>
      <c r="G364" s="722">
        <f t="shared" si="824"/>
        <v>8842.2875473950007</v>
      </c>
      <c r="H364" s="722">
        <f t="shared" si="824"/>
        <v>8842.2875473950007</v>
      </c>
      <c r="I364" s="722">
        <f t="shared" si="824"/>
        <v>8842.2875473950007</v>
      </c>
      <c r="J364" s="722">
        <f t="shared" si="824"/>
        <v>8842.2875473950007</v>
      </c>
      <c r="K364" s="722">
        <f t="shared" si="824"/>
        <v>8842.2875473950007</v>
      </c>
      <c r="L364" s="722">
        <f t="shared" si="824"/>
        <v>8842.2875473950007</v>
      </c>
      <c r="M364" s="722">
        <f t="shared" si="824"/>
        <v>8842.2875473950007</v>
      </c>
      <c r="N364" s="722">
        <f t="shared" si="824"/>
        <v>1179.8982109799999</v>
      </c>
      <c r="O364" s="722">
        <f t="shared" si="824"/>
        <v>1179.8982109799999</v>
      </c>
      <c r="P364" s="722">
        <f t="shared" si="824"/>
        <v>1179.8982109799999</v>
      </c>
      <c r="Q364" s="722">
        <f t="shared" si="824"/>
        <v>1179.8982109799999</v>
      </c>
      <c r="R364" s="722">
        <f t="shared" si="824"/>
        <v>1179.8982109799999</v>
      </c>
      <c r="S364" s="722">
        <f t="shared" si="824"/>
        <v>1179.8982109799999</v>
      </c>
      <c r="T364" s="722">
        <f t="shared" si="824"/>
        <v>1179.8982109799999</v>
      </c>
      <c r="U364" s="722">
        <f t="shared" si="824"/>
        <v>1179.8982109799999</v>
      </c>
      <c r="V364" s="722">
        <f t="shared" si="824"/>
        <v>1179.8982109799999</v>
      </c>
      <c r="W364" s="722">
        <f t="shared" si="824"/>
        <v>1179.8982109799999</v>
      </c>
      <c r="X364" s="722">
        <f t="shared" si="824"/>
        <v>1179.8982109799999</v>
      </c>
      <c r="Y364" s="722">
        <f t="shared" si="824"/>
        <v>1179.8982109799999</v>
      </c>
      <c r="Z364" s="722">
        <f t="shared" si="824"/>
        <v>1179.8982109799999</v>
      </c>
      <c r="AA364" s="722">
        <f t="shared" si="824"/>
        <v>1179.8982109799999</v>
      </c>
      <c r="AB364" s="722">
        <f t="shared" si="824"/>
        <v>1179.8982109799999</v>
      </c>
      <c r="AC364" s="722">
        <f t="shared" si="824"/>
        <v>1179.8982109799999</v>
      </c>
      <c r="AD364" s="722">
        <f t="shared" si="824"/>
        <v>1179.8982109799999</v>
      </c>
      <c r="AE364" s="722">
        <f t="shared" si="824"/>
        <v>1179.8982109799999</v>
      </c>
      <c r="AF364" s="722">
        <f t="shared" si="824"/>
        <v>1179.8982109799999</v>
      </c>
      <c r="AG364" s="722">
        <f t="shared" si="824"/>
        <v>1179.8982109799999</v>
      </c>
      <c r="AH364" s="722">
        <f t="shared" si="824"/>
        <v>1179.8982109799999</v>
      </c>
      <c r="AI364" s="722">
        <f t="shared" si="824"/>
        <v>1179.8982109799999</v>
      </c>
      <c r="AL364" s="113"/>
      <c r="AN364" s="138"/>
      <c r="AO364" s="137"/>
      <c r="AP364" s="138"/>
      <c r="AQ364" s="137"/>
      <c r="AR364" s="138"/>
      <c r="AS364" s="137"/>
      <c r="AT364" s="137"/>
      <c r="AU364" s="244"/>
      <c r="AV364" s="244"/>
    </row>
    <row r="365" spans="1:48" s="183" customFormat="1" x14ac:dyDescent="0.2">
      <c r="A365" s="245" t="s">
        <v>216</v>
      </c>
      <c r="B365" s="731">
        <f>B373</f>
        <v>0</v>
      </c>
      <c r="C365" s="731">
        <f t="shared" ref="C365:AH365" si="825">C373</f>
        <v>0</v>
      </c>
      <c r="D365" s="731">
        <f t="shared" si="825"/>
        <v>7955.6865358949999</v>
      </c>
      <c r="E365" s="731">
        <f>E373</f>
        <v>8842.2875473950007</v>
      </c>
      <c r="F365" s="731">
        <f t="shared" si="825"/>
        <v>8842.2875473950007</v>
      </c>
      <c r="G365" s="731">
        <f t="shared" si="825"/>
        <v>8842.2875473950007</v>
      </c>
      <c r="H365" s="731">
        <f>H373</f>
        <v>8842.2875473950007</v>
      </c>
      <c r="I365" s="731">
        <f>I373</f>
        <v>8842.2875473950007</v>
      </c>
      <c r="J365" s="731">
        <f>J373</f>
        <v>8842.2875473950007</v>
      </c>
      <c r="K365" s="731">
        <f>K373</f>
        <v>8842.2875473950007</v>
      </c>
      <c r="L365" s="731">
        <f t="shared" si="825"/>
        <v>8842.2875473950007</v>
      </c>
      <c r="M365" s="731">
        <f t="shared" si="825"/>
        <v>8842.2875473950007</v>
      </c>
      <c r="N365" s="731">
        <f t="shared" si="825"/>
        <v>1179.8982109799999</v>
      </c>
      <c r="O365" s="731">
        <f t="shared" si="825"/>
        <v>1179.8982109799999</v>
      </c>
      <c r="P365" s="731">
        <f t="shared" si="825"/>
        <v>1179.8982109799999</v>
      </c>
      <c r="Q365" s="731">
        <f t="shared" si="825"/>
        <v>1179.8982109799999</v>
      </c>
      <c r="R365" s="731">
        <f t="shared" si="825"/>
        <v>1179.8982109799999</v>
      </c>
      <c r="S365" s="731">
        <f t="shared" si="825"/>
        <v>1179.8982109799999</v>
      </c>
      <c r="T365" s="731">
        <f t="shared" si="825"/>
        <v>1179.8982109799999</v>
      </c>
      <c r="U365" s="731">
        <f t="shared" si="825"/>
        <v>1179.8982109799999</v>
      </c>
      <c r="V365" s="731">
        <f t="shared" si="825"/>
        <v>1179.8982109799999</v>
      </c>
      <c r="W365" s="731">
        <f t="shared" si="825"/>
        <v>1179.8982109799999</v>
      </c>
      <c r="X365" s="731">
        <f t="shared" si="825"/>
        <v>1179.8982109799999</v>
      </c>
      <c r="Y365" s="731">
        <f t="shared" si="825"/>
        <v>1179.8982109799999</v>
      </c>
      <c r="Z365" s="731">
        <f t="shared" si="825"/>
        <v>1179.8982109799999</v>
      </c>
      <c r="AA365" s="731">
        <f t="shared" si="825"/>
        <v>1179.8982109799999</v>
      </c>
      <c r="AB365" s="731">
        <f t="shared" si="825"/>
        <v>1179.8982109799999</v>
      </c>
      <c r="AC365" s="731">
        <f t="shared" si="825"/>
        <v>1179.8982109799999</v>
      </c>
      <c r="AD365" s="731">
        <f t="shared" si="825"/>
        <v>1179.8982109799999</v>
      </c>
      <c r="AE365" s="731">
        <f t="shared" si="825"/>
        <v>1179.8982109799999</v>
      </c>
      <c r="AF365" s="731">
        <f t="shared" si="825"/>
        <v>1179.8982109799999</v>
      </c>
      <c r="AG365" s="731">
        <f t="shared" si="825"/>
        <v>1179.8982109799999</v>
      </c>
      <c r="AH365" s="731">
        <f t="shared" si="825"/>
        <v>1179.8982109799999</v>
      </c>
      <c r="AI365" s="731">
        <f>AI373</f>
        <v>1179.8982109799999</v>
      </c>
      <c r="AL365" s="113"/>
      <c r="AN365" s="138"/>
      <c r="AO365" s="137"/>
      <c r="AP365" s="138"/>
      <c r="AQ365" s="137"/>
      <c r="AR365" s="138"/>
      <c r="AS365" s="137"/>
      <c r="AT365" s="137"/>
      <c r="AU365" s="244"/>
      <c r="AV365" s="244"/>
    </row>
    <row r="366" spans="1:48" s="183" customFormat="1" x14ac:dyDescent="0.2">
      <c r="A366" s="227" t="s">
        <v>218</v>
      </c>
      <c r="B366" s="722">
        <f t="shared" ref="B366:AH366" si="826">SUM(B357,B362,B364)</f>
        <v>5098367.836000002</v>
      </c>
      <c r="C366" s="722">
        <f t="shared" si="826"/>
        <v>8238944.4974000007</v>
      </c>
      <c r="D366" s="722">
        <f t="shared" si="826"/>
        <v>8294667.9598918948</v>
      </c>
      <c r="E366" s="722">
        <f t="shared" si="826"/>
        <v>8326693.6469033947</v>
      </c>
      <c r="F366" s="711">
        <f t="shared" si="826"/>
        <v>8356664.3509033937</v>
      </c>
      <c r="G366" s="722">
        <f t="shared" si="826"/>
        <v>8388326.5309033943</v>
      </c>
      <c r="H366" s="722">
        <f>SUM(H357,H362,H364)</f>
        <v>8422028.3069033939</v>
      </c>
      <c r="I366" s="722">
        <f>SUM(I357,I362,I364)</f>
        <v>8454213.5809033941</v>
      </c>
      <c r="J366" s="722">
        <f>SUM(J357,J362,J364)</f>
        <v>8488438.4509033933</v>
      </c>
      <c r="K366" s="722">
        <f>SUM(K357,K362,K364)</f>
        <v>8524354.7969033942</v>
      </c>
      <c r="L366" s="722">
        <f t="shared" si="826"/>
        <v>8561517.898903396</v>
      </c>
      <c r="M366" s="722">
        <f t="shared" si="826"/>
        <v>8596719.7789033931</v>
      </c>
      <c r="N366" s="722">
        <f t="shared" si="826"/>
        <v>8631672.2675669789</v>
      </c>
      <c r="O366" s="722">
        <f t="shared" si="826"/>
        <v>8677123.9015669785</v>
      </c>
      <c r="P366" s="722">
        <f t="shared" si="826"/>
        <v>8721952.8915669788</v>
      </c>
      <c r="Q366" s="722">
        <f t="shared" si="826"/>
        <v>8769367.2155669797</v>
      </c>
      <c r="R366" s="722">
        <f t="shared" si="826"/>
        <v>8816158.8955669794</v>
      </c>
      <c r="S366" s="722">
        <f t="shared" si="826"/>
        <v>8865535.909566978</v>
      </c>
      <c r="T366" s="722">
        <f t="shared" si="826"/>
        <v>8914290.279566979</v>
      </c>
      <c r="U366" s="722">
        <f t="shared" si="826"/>
        <v>8965629.9835669789</v>
      </c>
      <c r="V366" s="722">
        <f t="shared" si="826"/>
        <v>9016695.1635669786</v>
      </c>
      <c r="W366" s="722">
        <f t="shared" si="826"/>
        <v>9070345.6775669791</v>
      </c>
      <c r="X366" s="722">
        <f t="shared" si="826"/>
        <v>9123373.5475669783</v>
      </c>
      <c r="Y366" s="722">
        <f t="shared" si="826"/>
        <v>9178986.7515669782</v>
      </c>
      <c r="Z366" s="722">
        <f t="shared" si="826"/>
        <v>9233977.3115669787</v>
      </c>
      <c r="AA366" s="722">
        <f t="shared" si="826"/>
        <v>9291553.2055669781</v>
      </c>
      <c r="AB366" s="722">
        <f t="shared" si="826"/>
        <v>9350921.5935669784</v>
      </c>
      <c r="AC366" s="722">
        <f t="shared" si="826"/>
        <v>9409222.6175669786</v>
      </c>
      <c r="AD366" s="722">
        <f t="shared" si="826"/>
        <v>9469316.1355669778</v>
      </c>
      <c r="AE366" s="722">
        <f t="shared" si="826"/>
        <v>9531202.1475669779</v>
      </c>
      <c r="AF366" s="722">
        <f t="shared" si="826"/>
        <v>9593559.3735669795</v>
      </c>
      <c r="AG366" s="722">
        <f t="shared" si="826"/>
        <v>9656039.693566978</v>
      </c>
      <c r="AH366" s="722">
        <f t="shared" si="826"/>
        <v>9722199.2055669781</v>
      </c>
      <c r="AI366" s="722">
        <f>SUM(AI357,AI362,AI364)</f>
        <v>9788481.8115669787</v>
      </c>
      <c r="AL366" s="113"/>
      <c r="AN366" s="133"/>
      <c r="AO366" s="112"/>
      <c r="AP366" s="133"/>
      <c r="AQ366" s="112"/>
      <c r="AR366" s="133"/>
      <c r="AU366" s="244"/>
      <c r="AV366" s="244"/>
    </row>
    <row r="367" spans="1:48" s="246" customFormat="1" ht="11.25" x14ac:dyDescent="0.2">
      <c r="A367" s="246" t="s">
        <v>603</v>
      </c>
      <c r="B367" s="741">
        <f>B366-B355</f>
        <v>0</v>
      </c>
      <c r="C367" s="741">
        <f>C366-C355</f>
        <v>2946723.703867998</v>
      </c>
      <c r="D367" s="741">
        <f t="shared" ref="D367:AI367" si="827">D366-D355</f>
        <v>2985722.6301038917</v>
      </c>
      <c r="E367" s="741">
        <f t="shared" si="827"/>
        <v>3015772.7952153916</v>
      </c>
      <c r="F367" s="741">
        <f t="shared" si="827"/>
        <v>3045900.3105153907</v>
      </c>
      <c r="G367" s="741">
        <f t="shared" si="827"/>
        <v>3076449.314715392</v>
      </c>
      <c r="H367" s="741">
        <f t="shared" si="827"/>
        <v>3107562.8007153915</v>
      </c>
      <c r="I367" s="741">
        <f t="shared" si="827"/>
        <v>3139258.1745153926</v>
      </c>
      <c r="J367" s="741">
        <f t="shared" si="827"/>
        <v>3171357.6312153917</v>
      </c>
      <c r="K367" s="741">
        <f t="shared" si="827"/>
        <v>3204038.9757153923</v>
      </c>
      <c r="L367" s="741">
        <f t="shared" si="827"/>
        <v>3237284.802015394</v>
      </c>
      <c r="M367" s="741">
        <f t="shared" si="827"/>
        <v>3271147.3281153915</v>
      </c>
      <c r="N367" s="741">
        <f t="shared" si="827"/>
        <v>3297803.7657789774</v>
      </c>
      <c r="O367" s="741">
        <f t="shared" si="827"/>
        <v>3332248.1796789765</v>
      </c>
      <c r="P367" s="741">
        <f t="shared" si="827"/>
        <v>3367309.2933789771</v>
      </c>
      <c r="Q367" s="741">
        <f t="shared" si="827"/>
        <v>3403074.1368789785</v>
      </c>
      <c r="R367" s="741">
        <f t="shared" si="827"/>
        <v>3439703.1090789773</v>
      </c>
      <c r="S367" s="741">
        <f t="shared" si="827"/>
        <v>3477035.8110789759</v>
      </c>
      <c r="T367" s="741">
        <f t="shared" si="827"/>
        <v>3515232.6417789776</v>
      </c>
      <c r="U367" s="741">
        <f t="shared" si="827"/>
        <v>3554133.2022789773</v>
      </c>
      <c r="V367" s="741">
        <f t="shared" si="827"/>
        <v>3593897.8914789772</v>
      </c>
      <c r="W367" s="741">
        <f t="shared" si="827"/>
        <v>3634383.7164789774</v>
      </c>
      <c r="X367" s="741">
        <f t="shared" si="827"/>
        <v>3675733.6701789768</v>
      </c>
      <c r="Y367" s="741">
        <f t="shared" si="827"/>
        <v>3717787.3536789771</v>
      </c>
      <c r="Z367" s="741">
        <f t="shared" si="827"/>
        <v>3760705.1658789776</v>
      </c>
      <c r="AA367" s="741">
        <f t="shared" si="827"/>
        <v>3804326.7078789771</v>
      </c>
      <c r="AB367" s="741">
        <f t="shared" si="827"/>
        <v>3848812.3785789777</v>
      </c>
      <c r="AC367" s="741">
        <f t="shared" si="827"/>
        <v>3894196.9899789775</v>
      </c>
      <c r="AD367" s="741">
        <f t="shared" si="827"/>
        <v>3940337.5491789766</v>
      </c>
      <c r="AE367" s="741">
        <f t="shared" si="827"/>
        <v>3987377.0490789767</v>
      </c>
      <c r="AF367" s="741">
        <f t="shared" si="827"/>
        <v>4035315.4896789789</v>
      </c>
      <c r="AG367" s="741">
        <f t="shared" si="827"/>
        <v>4084257.3069789773</v>
      </c>
      <c r="AH367" s="741">
        <f t="shared" si="827"/>
        <v>4134185.094978977</v>
      </c>
      <c r="AI367" s="741">
        <f t="shared" si="827"/>
        <v>4185276.658578977</v>
      </c>
      <c r="AN367" s="247"/>
      <c r="AO367" s="248"/>
      <c r="AP367" s="247"/>
      <c r="AQ367" s="248"/>
      <c r="AR367" s="247"/>
    </row>
    <row r="368" spans="1:48" s="246" customFormat="1" ht="11.25" x14ac:dyDescent="0.2">
      <c r="B368" s="249"/>
      <c r="C368" s="249"/>
      <c r="D368" s="249"/>
      <c r="E368" s="249"/>
      <c r="F368" s="249"/>
      <c r="G368" s="249"/>
      <c r="H368" s="249"/>
      <c r="I368" s="249"/>
      <c r="J368" s="249"/>
      <c r="K368" s="249"/>
      <c r="L368" s="249"/>
      <c r="M368" s="249"/>
      <c r="N368" s="249"/>
      <c r="O368" s="249"/>
      <c r="P368" s="249"/>
      <c r="Q368" s="249"/>
      <c r="R368" s="249"/>
      <c r="S368" s="249"/>
      <c r="T368" s="249"/>
      <c r="U368" s="249"/>
      <c r="V368" s="249"/>
      <c r="W368" s="249"/>
      <c r="X368" s="249"/>
      <c r="Y368" s="249"/>
      <c r="Z368" s="249"/>
      <c r="AA368" s="249"/>
      <c r="AB368" s="249"/>
      <c r="AC368" s="249"/>
      <c r="AD368" s="249"/>
      <c r="AE368" s="249"/>
      <c r="AF368" s="249"/>
      <c r="AG368" s="249"/>
      <c r="AH368" s="249"/>
      <c r="AI368" s="249"/>
      <c r="AJ368" s="250"/>
      <c r="AN368" s="247"/>
      <c r="AO368" s="248"/>
      <c r="AP368" s="247"/>
      <c r="AQ368" s="248"/>
      <c r="AR368" s="247"/>
    </row>
    <row r="369" spans="1:44" x14ac:dyDescent="0.2">
      <c r="C369" s="251"/>
      <c r="D369" s="251"/>
      <c r="F369" s="112"/>
    </row>
    <row r="370" spans="1:44" s="183" customFormat="1" x14ac:dyDescent="0.2">
      <c r="A370" s="252" t="s">
        <v>411</v>
      </c>
      <c r="AN370" s="133"/>
      <c r="AO370" s="112"/>
      <c r="AP370" s="133"/>
      <c r="AQ370" s="112"/>
      <c r="AR370" s="133"/>
    </row>
    <row r="371" spans="1:44" s="235" customFormat="1" ht="11.25" outlineLevel="1" x14ac:dyDescent="0.2">
      <c r="A371" s="162" t="s">
        <v>219</v>
      </c>
      <c r="B371" s="742">
        <f>SUM(Aprekini!B206,Aprekini!B209)</f>
        <v>0</v>
      </c>
      <c r="C371" s="742">
        <f>SUM(Aprekini!C206,Aprekini!C209)</f>
        <v>19553.146632</v>
      </c>
      <c r="D371" s="742">
        <f>SUM(Aprekini!D206,Aprekini!D209)</f>
        <v>17444.473956000002</v>
      </c>
      <c r="E371" s="742">
        <f>SUM(Aprekini!E206,Aprekini!E209)</f>
        <v>0</v>
      </c>
      <c r="F371" s="743">
        <f>SUM(Aprekini!F206,Aprekini!F209)</f>
        <v>0</v>
      </c>
      <c r="G371" s="742">
        <f>SUM(Aprekini!G206,Aprekini!G209)</f>
        <v>0</v>
      </c>
      <c r="H371" s="742">
        <f>SUM(Aprekini!H206,Aprekini!H209)</f>
        <v>0</v>
      </c>
      <c r="I371" s="742">
        <f>SUM(Aprekini!I206,Aprekini!I209)</f>
        <v>0</v>
      </c>
      <c r="J371" s="742">
        <f>SUM(Aprekini!J206,Aprekini!J209)</f>
        <v>0</v>
      </c>
      <c r="K371" s="742">
        <f>SUM(Aprekini!K206,Aprekini!K209)</f>
        <v>0</v>
      </c>
      <c r="L371" s="742">
        <f>SUM(Aprekini!L206,Aprekini!L209)</f>
        <v>0</v>
      </c>
      <c r="M371" s="742">
        <f>SUM(Aprekini!M206,Aprekini!M209)</f>
        <v>0</v>
      </c>
      <c r="N371" s="742">
        <f>SUM(Aprekini!N206,Aprekini!N209)</f>
        <v>0</v>
      </c>
      <c r="O371" s="742">
        <f>SUM(Aprekini!O206,Aprekini!O209)</f>
        <v>0</v>
      </c>
      <c r="P371" s="742">
        <f>SUM(Aprekini!P206,Aprekini!P209)</f>
        <v>0</v>
      </c>
      <c r="Q371" s="742">
        <f>SUM(Aprekini!Q206,Aprekini!Q209)</f>
        <v>0</v>
      </c>
      <c r="R371" s="742">
        <f>SUM(Aprekini!R206,Aprekini!R209)</f>
        <v>0</v>
      </c>
      <c r="S371" s="742">
        <f>SUM(Aprekini!S206,Aprekini!S209)</f>
        <v>0</v>
      </c>
      <c r="T371" s="742">
        <f>SUM(Aprekini!T206,Aprekini!T209)</f>
        <v>0</v>
      </c>
      <c r="U371" s="742">
        <f>SUM(Aprekini!U206,Aprekini!U209)</f>
        <v>0</v>
      </c>
      <c r="V371" s="742">
        <f>SUM(Aprekini!V206,Aprekini!V209)</f>
        <v>0</v>
      </c>
      <c r="W371" s="742">
        <f>SUM(Aprekini!W206,Aprekini!W209)</f>
        <v>0</v>
      </c>
      <c r="X371" s="742">
        <f>SUM(Aprekini!X206,Aprekini!X209)</f>
        <v>0</v>
      </c>
      <c r="Y371" s="742">
        <f>SUM(Aprekini!Y206,Aprekini!Y209)</f>
        <v>0</v>
      </c>
      <c r="Z371" s="742">
        <f>SUM(Aprekini!Z206,Aprekini!Z209)</f>
        <v>0</v>
      </c>
      <c r="AA371" s="742">
        <f>SUM(Aprekini!AA206,Aprekini!AA209)</f>
        <v>0</v>
      </c>
      <c r="AB371" s="742">
        <f>SUM(Aprekini!AB206,Aprekini!AB209)</f>
        <v>0</v>
      </c>
      <c r="AC371" s="742">
        <f>SUM(Aprekini!AC206,Aprekini!AC209)</f>
        <v>0</v>
      </c>
      <c r="AD371" s="742">
        <f>SUM(Aprekini!AD206,Aprekini!AD209)</f>
        <v>0</v>
      </c>
      <c r="AE371" s="742">
        <f>SUM(Aprekini!AE206,Aprekini!AE209)</f>
        <v>0</v>
      </c>
      <c r="AF371" s="742">
        <f>SUM(Aprekini!AF206,Aprekini!AF209)</f>
        <v>0</v>
      </c>
      <c r="AG371" s="742">
        <f>SUM(Aprekini!AG206,Aprekini!AG209)</f>
        <v>0</v>
      </c>
      <c r="AH371" s="742">
        <f>SUM(Aprekini!AH206,Aprekini!AH209)</f>
        <v>0</v>
      </c>
      <c r="AI371" s="742">
        <f>SUM(Aprekini!AI206,Aprekini!AI209)</f>
        <v>0</v>
      </c>
      <c r="AJ371" s="155"/>
      <c r="AN371" s="156"/>
      <c r="AO371" s="157"/>
      <c r="AP371" s="156"/>
      <c r="AQ371" s="157"/>
      <c r="AR371" s="156"/>
    </row>
    <row r="372" spans="1:44" s="235" customFormat="1" ht="11.25" outlineLevel="1" x14ac:dyDescent="0.2">
      <c r="A372" s="162" t="s">
        <v>220</v>
      </c>
      <c r="B372" s="742">
        <f>B371-B373</f>
        <v>0</v>
      </c>
      <c r="C372" s="742">
        <f>IF((B372+C371-C373)&gt;0,(B372+C281-C373),0)</f>
        <v>118757.55070000002</v>
      </c>
      <c r="D372" s="742">
        <f>IF((C372+D371-D373)&gt;0,C372+D371-D373,0)</f>
        <v>128246.33812010502</v>
      </c>
      <c r="E372" s="742">
        <f t="shared" ref="E372:H372" si="828">IF((D372+E371-E373)&gt;0,D372+E371-E373,0)</f>
        <v>119404.05057271002</v>
      </c>
      <c r="F372" s="742">
        <f t="shared" si="828"/>
        <v>110561.76302531503</v>
      </c>
      <c r="G372" s="742">
        <f t="shared" si="828"/>
        <v>101719.47547792003</v>
      </c>
      <c r="H372" s="742">
        <f t="shared" si="828"/>
        <v>92877.187930525033</v>
      </c>
      <c r="I372" s="742">
        <f t="shared" ref="I372" si="829">IF((H372+I371-I373)&gt;0,H372+I371-I373,0)</f>
        <v>84034.900383130036</v>
      </c>
      <c r="J372" s="742">
        <f t="shared" ref="J372" si="830">IF((I372+J371-J373)&gt;0,I372+J371-J373,0)</f>
        <v>75192.612835735039</v>
      </c>
      <c r="K372" s="742">
        <f t="shared" ref="K372:L372" si="831">IF((J372+K371-K373)&gt;0,J372+K371-K373,0)</f>
        <v>66350.325288340042</v>
      </c>
      <c r="L372" s="742">
        <f t="shared" si="831"/>
        <v>57508.037740945045</v>
      </c>
      <c r="M372" s="742">
        <f t="shared" ref="M372" si="832">IF((L372+M371-M373)&gt;0,L372+M371-M373,0)</f>
        <v>48665.750193550048</v>
      </c>
      <c r="N372" s="742">
        <f t="shared" ref="N372" si="833">IF((M372+N371-N373)&gt;0,M372+N371-N373,0)</f>
        <v>47485.85198257005</v>
      </c>
      <c r="O372" s="742">
        <f t="shared" ref="O372:P372" si="834">IF((N372+O371-O373)&gt;0,N372+O371-O373,0)</f>
        <v>46305.953771590051</v>
      </c>
      <c r="P372" s="742">
        <f t="shared" si="834"/>
        <v>45126.055560610053</v>
      </c>
      <c r="Q372" s="742">
        <f t="shared" ref="Q372" si="835">IF((P372+Q371-Q373)&gt;0,P372+Q371-Q373,0)</f>
        <v>43946.157349630055</v>
      </c>
      <c r="R372" s="742">
        <f t="shared" ref="R372" si="836">IF((Q372+R371-R373)&gt;0,Q372+R371-R373,0)</f>
        <v>42766.259138650057</v>
      </c>
      <c r="S372" s="742">
        <f t="shared" ref="S372:T372" si="837">IF((R372+S371-S373)&gt;0,R372+S371-S373,0)</f>
        <v>41586.360927670059</v>
      </c>
      <c r="T372" s="742">
        <f t="shared" si="837"/>
        <v>40406.462716690061</v>
      </c>
      <c r="U372" s="742">
        <f t="shared" ref="U372" si="838">IF((T372+U371-U373)&gt;0,T372+U371-U373,0)</f>
        <v>39226.564505710063</v>
      </c>
      <c r="V372" s="742">
        <f t="shared" ref="V372" si="839">IF((U372+V371-V373)&gt;0,U372+V371-V373,0)</f>
        <v>38046.666294730065</v>
      </c>
      <c r="W372" s="742">
        <f t="shared" ref="W372:X372" si="840">IF((V372+W371-W373)&gt;0,V372+W371-W373,0)</f>
        <v>36866.768083750067</v>
      </c>
      <c r="X372" s="742">
        <f t="shared" si="840"/>
        <v>35686.869872770068</v>
      </c>
      <c r="Y372" s="742">
        <f t="shared" ref="Y372" si="841">IF((X372+Y371-Y373)&gt;0,X372+Y371-Y373,0)</f>
        <v>34506.97166179007</v>
      </c>
      <c r="Z372" s="742">
        <f t="shared" ref="Z372" si="842">IF((Y372+Z371-Z373)&gt;0,Y372+Z371-Z373,0)</f>
        <v>33327.073450810072</v>
      </c>
      <c r="AA372" s="742">
        <f t="shared" ref="AA372:AB372" si="843">IF((Z372+AA371-AA373)&gt;0,Z372+AA371-AA373,0)</f>
        <v>32147.175239830074</v>
      </c>
      <c r="AB372" s="742">
        <f t="shared" si="843"/>
        <v>30967.277028850076</v>
      </c>
      <c r="AC372" s="742">
        <f t="shared" ref="AC372" si="844">IF((AB372+AC371-AC373)&gt;0,AB372+AC371-AC373,0)</f>
        <v>29787.378817870078</v>
      </c>
      <c r="AD372" s="742">
        <f t="shared" ref="AD372" si="845">IF((AC372+AD371-AD373)&gt;0,AC372+AD371-AD373,0)</f>
        <v>28607.48060689008</v>
      </c>
      <c r="AE372" s="742">
        <f t="shared" ref="AE372:AF372" si="846">IF((AD372+AE371-AE373)&gt;0,AD372+AE371-AE373,0)</f>
        <v>27427.582395910082</v>
      </c>
      <c r="AF372" s="742">
        <f t="shared" si="846"/>
        <v>26247.684184930084</v>
      </c>
      <c r="AG372" s="742">
        <f>IF((AF372+AG371-AG373)&gt;0,AF372+AG371-AG373,0)</f>
        <v>25067.785973950085</v>
      </c>
      <c r="AH372" s="742">
        <f t="shared" ref="AH372" si="847">IF((AG372+AH371-AH373)&gt;0,AG372+AH371-AH373,0)</f>
        <v>23887.887762970087</v>
      </c>
      <c r="AI372" s="742">
        <f t="shared" ref="AI372" si="848">IF((AH372+AI371-AI373)&gt;0,AH372+AI371-AI373,0)</f>
        <v>22707.989551990089</v>
      </c>
      <c r="AJ372" s="627"/>
      <c r="AN372" s="156"/>
      <c r="AO372" s="157"/>
      <c r="AP372" s="156"/>
      <c r="AQ372" s="157"/>
      <c r="AR372" s="156"/>
    </row>
    <row r="373" spans="1:44" s="235" customFormat="1" ht="11.25" outlineLevel="1" x14ac:dyDescent="0.2">
      <c r="A373" s="162" t="s">
        <v>221</v>
      </c>
      <c r="B373" s="742">
        <f>Aprekini!B326+Aprekini!B321</f>
        <v>0</v>
      </c>
      <c r="C373" s="742">
        <f>Aprekini!C326+Aprekini!C321</f>
        <v>0</v>
      </c>
      <c r="D373" s="742">
        <f>Aprekini!D326+Aprekini!D321</f>
        <v>7955.6865358949999</v>
      </c>
      <c r="E373" s="742">
        <f>Aprekini!E326+Aprekini!E321</f>
        <v>8842.2875473950007</v>
      </c>
      <c r="F373" s="742">
        <f>Aprekini!F326+Aprekini!F321</f>
        <v>8842.2875473950007</v>
      </c>
      <c r="G373" s="742">
        <f>Aprekini!G326+Aprekini!G321</f>
        <v>8842.2875473950007</v>
      </c>
      <c r="H373" s="742">
        <f>Aprekini!H326+Aprekini!H321</f>
        <v>8842.2875473950007</v>
      </c>
      <c r="I373" s="742">
        <f>Aprekini!I326+Aprekini!I321</f>
        <v>8842.2875473950007</v>
      </c>
      <c r="J373" s="742">
        <f>Aprekini!J326+Aprekini!J321</f>
        <v>8842.2875473950007</v>
      </c>
      <c r="K373" s="742">
        <f>Aprekini!K326+Aprekini!K321</f>
        <v>8842.2875473950007</v>
      </c>
      <c r="L373" s="742">
        <f>Aprekini!L326+Aprekini!L321</f>
        <v>8842.2875473950007</v>
      </c>
      <c r="M373" s="742">
        <f>Aprekini!M326+Aprekini!M321</f>
        <v>8842.2875473950007</v>
      </c>
      <c r="N373" s="742">
        <f>Aprekini!N326+Aprekini!N321</f>
        <v>1179.8982109799999</v>
      </c>
      <c r="O373" s="742">
        <f>Aprekini!O326+Aprekini!O321</f>
        <v>1179.8982109799999</v>
      </c>
      <c r="P373" s="742">
        <f>Aprekini!P326+Aprekini!P321</f>
        <v>1179.8982109799999</v>
      </c>
      <c r="Q373" s="742">
        <f>Aprekini!Q326+Aprekini!Q321</f>
        <v>1179.8982109799999</v>
      </c>
      <c r="R373" s="742">
        <f>Aprekini!R326+Aprekini!R321</f>
        <v>1179.8982109799999</v>
      </c>
      <c r="S373" s="742">
        <f>Aprekini!S326+Aprekini!S321</f>
        <v>1179.8982109799999</v>
      </c>
      <c r="T373" s="742">
        <f>Aprekini!T326+Aprekini!T321</f>
        <v>1179.8982109799999</v>
      </c>
      <c r="U373" s="742">
        <f>Aprekini!U326+Aprekini!U321</f>
        <v>1179.8982109799999</v>
      </c>
      <c r="V373" s="742">
        <f>Aprekini!V326+Aprekini!V321</f>
        <v>1179.8982109799999</v>
      </c>
      <c r="W373" s="742">
        <f>Aprekini!W326+Aprekini!W321</f>
        <v>1179.8982109799999</v>
      </c>
      <c r="X373" s="742">
        <f>Aprekini!X326+Aprekini!X321</f>
        <v>1179.8982109799999</v>
      </c>
      <c r="Y373" s="742">
        <f>Aprekini!Y326+Aprekini!Y321</f>
        <v>1179.8982109799999</v>
      </c>
      <c r="Z373" s="742">
        <f>Aprekini!Z326+Aprekini!Z321</f>
        <v>1179.8982109799999</v>
      </c>
      <c r="AA373" s="742">
        <f>Aprekini!AA326+Aprekini!AA321</f>
        <v>1179.8982109799999</v>
      </c>
      <c r="AB373" s="742">
        <f>Aprekini!AB326+Aprekini!AB321</f>
        <v>1179.8982109799999</v>
      </c>
      <c r="AC373" s="742">
        <f>Aprekini!AC326+Aprekini!AC321</f>
        <v>1179.8982109799999</v>
      </c>
      <c r="AD373" s="742">
        <f>Aprekini!AD326+Aprekini!AD321</f>
        <v>1179.8982109799999</v>
      </c>
      <c r="AE373" s="742">
        <f>Aprekini!AE326+Aprekini!AE321</f>
        <v>1179.8982109799999</v>
      </c>
      <c r="AF373" s="742">
        <f>Aprekini!AF326+Aprekini!AF321</f>
        <v>1179.8982109799999</v>
      </c>
      <c r="AG373" s="742">
        <f>Aprekini!AG326+Aprekini!AG321</f>
        <v>1179.8982109799999</v>
      </c>
      <c r="AH373" s="742">
        <f>Aprekini!AH326+Aprekini!AH321</f>
        <v>1179.8982109799999</v>
      </c>
      <c r="AI373" s="742">
        <f>Aprekini!AI326+Aprekini!AI321</f>
        <v>1179.8982109799999</v>
      </c>
      <c r="AJ373" s="155"/>
      <c r="AN373" s="156"/>
      <c r="AO373" s="157"/>
      <c r="AP373" s="156"/>
      <c r="AQ373" s="157"/>
      <c r="AR373" s="156"/>
    </row>
    <row r="374" spans="1:44" x14ac:dyDescent="0.2">
      <c r="B374" s="744"/>
      <c r="C374" s="744"/>
      <c r="D374" s="744"/>
      <c r="E374" s="744"/>
      <c r="F374" s="725"/>
      <c r="G374" s="744"/>
      <c r="H374" s="744"/>
      <c r="I374" s="744"/>
      <c r="J374" s="744"/>
      <c r="K374" s="744"/>
      <c r="L374" s="744"/>
      <c r="M374" s="744"/>
      <c r="N374" s="744"/>
      <c r="O374" s="744"/>
      <c r="P374" s="744"/>
      <c r="Q374" s="744"/>
      <c r="R374" s="744"/>
      <c r="S374" s="744"/>
      <c r="T374" s="744"/>
      <c r="U374" s="744"/>
      <c r="V374" s="744"/>
      <c r="W374" s="744"/>
      <c r="X374" s="744"/>
      <c r="Y374" s="744"/>
      <c r="Z374" s="744"/>
      <c r="AA374" s="744"/>
      <c r="AB374" s="744"/>
      <c r="AC374" s="744"/>
      <c r="AD374" s="744"/>
      <c r="AE374" s="744"/>
      <c r="AF374" s="744"/>
      <c r="AG374" s="744"/>
      <c r="AH374" s="744"/>
      <c r="AI374" s="744"/>
    </row>
    <row r="375" spans="1:44" x14ac:dyDescent="0.2">
      <c r="C375" s="133"/>
      <c r="D375" s="133"/>
      <c r="E375" s="133"/>
      <c r="F375" s="133"/>
      <c r="G375" s="133"/>
      <c r="H375" s="133"/>
      <c r="I375" s="133"/>
      <c r="J375" s="133"/>
      <c r="K375" s="133"/>
      <c r="L375" s="133"/>
    </row>
    <row r="376" spans="1:44" ht="12.4" customHeight="1" x14ac:dyDescent="0.2">
      <c r="B376" s="138"/>
      <c r="C376" s="138"/>
      <c r="D376" s="138"/>
      <c r="E376" s="138"/>
      <c r="F376" s="138"/>
      <c r="G376" s="138"/>
      <c r="H376" s="138"/>
      <c r="I376" s="138"/>
      <c r="J376" s="138"/>
      <c r="K376" s="138"/>
      <c r="L376" s="138"/>
      <c r="M376" s="138"/>
      <c r="N376" s="138"/>
      <c r="O376" s="138"/>
      <c r="P376" s="138"/>
      <c r="Q376" s="138"/>
      <c r="R376" s="138"/>
      <c r="S376" s="138"/>
      <c r="T376" s="138"/>
      <c r="U376" s="138"/>
      <c r="V376" s="138"/>
      <c r="W376" s="138"/>
      <c r="X376" s="138"/>
      <c r="Y376" s="138"/>
      <c r="Z376" s="138"/>
      <c r="AA376" s="138"/>
      <c r="AB376" s="138"/>
      <c r="AC376" s="138"/>
      <c r="AD376" s="138"/>
      <c r="AE376" s="138"/>
      <c r="AF376" s="138"/>
      <c r="AG376" s="138"/>
      <c r="AH376" s="138"/>
    </row>
    <row r="377" spans="1:44" x14ac:dyDescent="0.2">
      <c r="B377" s="138"/>
      <c r="C377" s="138"/>
      <c r="D377" s="138"/>
      <c r="E377" s="138"/>
      <c r="F377" s="138"/>
      <c r="G377" s="138"/>
      <c r="H377" s="138"/>
      <c r="I377" s="138"/>
      <c r="J377" s="138"/>
      <c r="K377" s="138"/>
      <c r="L377" s="138"/>
      <c r="M377" s="138"/>
      <c r="N377" s="138"/>
      <c r="O377" s="138"/>
      <c r="P377" s="137"/>
      <c r="Q377" s="137"/>
      <c r="R377" s="137"/>
      <c r="S377" s="137"/>
      <c r="T377" s="137"/>
      <c r="U377" s="137"/>
      <c r="V377" s="137"/>
      <c r="W377" s="137"/>
      <c r="X377" s="137"/>
      <c r="Y377" s="137"/>
      <c r="Z377" s="137"/>
      <c r="AA377" s="137"/>
      <c r="AB377" s="137"/>
      <c r="AC377" s="137"/>
      <c r="AD377" s="137"/>
      <c r="AE377" s="137"/>
      <c r="AF377" s="137"/>
      <c r="AG377" s="137"/>
      <c r="AH377" s="137"/>
    </row>
    <row r="378" spans="1:44" x14ac:dyDescent="0.2">
      <c r="B378" s="253"/>
      <c r="C378" s="138"/>
      <c r="D378" s="138"/>
      <c r="E378" s="138"/>
      <c r="F378" s="138"/>
      <c r="G378" s="138"/>
      <c r="H378" s="138"/>
      <c r="I378" s="138"/>
      <c r="J378" s="138"/>
      <c r="K378" s="138"/>
      <c r="L378" s="138"/>
      <c r="M378" s="138"/>
      <c r="N378" s="138"/>
      <c r="O378" s="138"/>
      <c r="P378" s="253"/>
      <c r="Q378" s="253"/>
      <c r="R378" s="253"/>
      <c r="S378" s="253"/>
      <c r="T378" s="253"/>
      <c r="U378" s="253"/>
      <c r="V378" s="253"/>
      <c r="W378" s="253"/>
      <c r="X378" s="253"/>
      <c r="Y378" s="253"/>
      <c r="Z378" s="253"/>
      <c r="AA378" s="253"/>
      <c r="AB378" s="253"/>
      <c r="AC378" s="253"/>
      <c r="AD378" s="253"/>
      <c r="AE378" s="253"/>
      <c r="AF378" s="253"/>
      <c r="AG378" s="253"/>
      <c r="AH378" s="253"/>
    </row>
    <row r="379" spans="1:44" x14ac:dyDescent="0.2">
      <c r="C379" s="133"/>
      <c r="D379" s="133"/>
      <c r="E379" s="133"/>
      <c r="F379" s="133"/>
      <c r="G379" s="133"/>
      <c r="H379" s="133"/>
      <c r="I379" s="133"/>
      <c r="J379" s="133"/>
      <c r="K379" s="133"/>
      <c r="L379" s="133"/>
      <c r="M379" s="133"/>
      <c r="N379" s="133"/>
    </row>
    <row r="380" spans="1:44" x14ac:dyDescent="0.2">
      <c r="A380" s="157"/>
      <c r="B380" s="157"/>
      <c r="C380" s="157"/>
      <c r="D380" s="157"/>
      <c r="E380" s="157"/>
      <c r="F380" s="154"/>
      <c r="G380" s="157"/>
    </row>
    <row r="381" spans="1:44" x14ac:dyDescent="0.2">
      <c r="A381" s="157"/>
      <c r="B381" s="157"/>
      <c r="C381" s="157"/>
      <c r="D381" s="157"/>
      <c r="E381" s="157"/>
      <c r="F381" s="154"/>
      <c r="G381" s="157"/>
    </row>
    <row r="382" spans="1:44" x14ac:dyDescent="0.2">
      <c r="A382" s="157"/>
      <c r="B382" s="157"/>
      <c r="C382" s="157"/>
      <c r="D382" s="157"/>
      <c r="E382" s="157"/>
      <c r="F382" s="154"/>
      <c r="G382" s="157"/>
    </row>
    <row r="383" spans="1:44" x14ac:dyDescent="0.2">
      <c r="A383" s="157"/>
      <c r="B383" s="157"/>
      <c r="C383" s="157"/>
      <c r="D383" s="157"/>
      <c r="E383" s="157"/>
      <c r="F383" s="154"/>
      <c r="G383" s="157"/>
    </row>
    <row r="384" spans="1:44" x14ac:dyDescent="0.2">
      <c r="A384" s="157"/>
      <c r="B384" s="157"/>
      <c r="C384" s="157"/>
      <c r="D384" s="157"/>
      <c r="E384" s="157"/>
      <c r="F384" s="154"/>
      <c r="G384" s="157"/>
    </row>
    <row r="385" spans="1:7" x14ac:dyDescent="0.2">
      <c r="A385" s="157"/>
      <c r="B385" s="157"/>
      <c r="C385" s="157"/>
      <c r="D385" s="157"/>
      <c r="E385" s="157"/>
      <c r="F385" s="154"/>
      <c r="G385" s="157"/>
    </row>
    <row r="386" spans="1:7" x14ac:dyDescent="0.2">
      <c r="A386" s="157"/>
      <c r="B386" s="157"/>
      <c r="C386" s="157"/>
      <c r="D386" s="157"/>
      <c r="E386" s="157"/>
      <c r="F386" s="154"/>
      <c r="G386" s="157"/>
    </row>
    <row r="387" spans="1:7" x14ac:dyDescent="0.2">
      <c r="A387" s="157"/>
      <c r="B387" s="157"/>
      <c r="C387" s="157"/>
      <c r="D387" s="157"/>
      <c r="E387" s="157"/>
      <c r="F387" s="154"/>
      <c r="G387" s="157"/>
    </row>
    <row r="388" spans="1:7" x14ac:dyDescent="0.2">
      <c r="A388" s="157"/>
      <c r="B388" s="157"/>
      <c r="C388" s="157"/>
      <c r="D388" s="157"/>
      <c r="E388" s="157"/>
      <c r="F388" s="154"/>
      <c r="G388" s="157"/>
    </row>
  </sheetData>
  <sheetProtection algorithmName="SHA-512" hashValue="xQOii9+W7hkCJHh2x9idyNvYMfSI/Z3g1xPk/oN+dn+/Z34AdgoV8a/mUodG0GBbgPdDt/zJUhVEvy0eiQLgOQ==" saltValue="K0zn6Qq/mPSv9rAYUEH3dw==" spinCount="100000" sheet="1" objects="1" scenarios="1"/>
  <mergeCells count="10">
    <mergeCell ref="C167:E167"/>
    <mergeCell ref="F160:AC160"/>
    <mergeCell ref="C169:E169"/>
    <mergeCell ref="C170:E170"/>
    <mergeCell ref="C160:E160"/>
    <mergeCell ref="C162:E162"/>
    <mergeCell ref="C163:E163"/>
    <mergeCell ref="C164:E164"/>
    <mergeCell ref="C165:E165"/>
    <mergeCell ref="C166:E166"/>
  </mergeCells>
  <phoneticPr fontId="2" type="noConversion"/>
  <dataValidations count="2">
    <dataValidation operator="equal" allowBlank="1" showErrorMessage="1" errorTitle="Jāievada pozitīvs skaitlis" error="Jāievada pozitīvs skaitlis" sqref="C8:AI16 B17:AI18 C19:AI27">
      <formula1>0</formula1>
      <formula2>0</formula2>
    </dataValidation>
    <dataValidation type="decimal" operator="greaterThanOrEqual" allowBlank="1" showErrorMessage="1" errorTitle="Jāievada pozitīvs skaitlis" error="Jāievada pozitīvs skaitlis" sqref="B8:B16 B19:B27">
      <formula1>0</formula1>
      <formula2>0</formula2>
    </dataValidation>
  </dataValidations>
  <printOptions horizontalCentered="1"/>
  <pageMargins left="0.59027777777777779" right="0.59027777777777779" top="1" bottom="1.1388888888888888" header="0.51180555555555551" footer="1"/>
  <pageSetup paperSize="9" scale="59" firstPageNumber="0" pageOrder="overThenDown" orientation="landscape" horizontalDpi="300" verticalDpi="300" r:id="rId1"/>
  <headerFooter alignWithMargins="0">
    <oddFooter>&amp;L&amp;A&amp;R&amp;P</oddFooter>
  </headerFooter>
  <rowBreaks count="4" manualBreakCount="4">
    <brk id="116" max="16383" man="1"/>
    <brk id="174" max="16383" man="1"/>
    <brk id="283" max="16383" man="1"/>
    <brk id="312" max="16383" man="1"/>
  </rowBreaks>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59999389629810485"/>
  </sheetPr>
  <dimension ref="A1:G53"/>
  <sheetViews>
    <sheetView workbookViewId="0">
      <selection activeCell="G18" sqref="G18"/>
    </sheetView>
  </sheetViews>
  <sheetFormatPr defaultColWidth="9.140625" defaultRowHeight="12.75" x14ac:dyDescent="0.2"/>
  <cols>
    <col min="1" max="1" width="5.140625" style="112" customWidth="1"/>
    <col min="2" max="2" width="82.42578125" style="112" customWidth="1"/>
    <col min="3" max="3" width="18.5703125" style="112" customWidth="1"/>
    <col min="4" max="4" width="24.85546875" style="112" customWidth="1"/>
    <col min="5" max="5" width="13.85546875" style="112" customWidth="1"/>
    <col min="6" max="6" width="11.85546875" style="112" customWidth="1"/>
    <col min="7" max="7" width="14.42578125" style="112" customWidth="1"/>
    <col min="8" max="8" width="15" style="112" customWidth="1"/>
    <col min="9" max="16384" width="9.140625" style="112"/>
  </cols>
  <sheetData>
    <row r="1" spans="1:5" ht="24" customHeight="1" x14ac:dyDescent="0.2">
      <c r="A1" s="1041" t="s">
        <v>508</v>
      </c>
      <c r="B1" s="1041"/>
    </row>
    <row r="2" spans="1:5" ht="18" customHeight="1" x14ac:dyDescent="0.2">
      <c r="B2" s="781">
        <f>'Datu ievade'!B10</f>
        <v>0</v>
      </c>
      <c r="C2" s="1049">
        <f>'Datu ievade'!B11</f>
        <v>0</v>
      </c>
      <c r="D2" s="1049"/>
      <c r="E2" s="1049"/>
    </row>
    <row r="3" spans="1:5" x14ac:dyDescent="0.2">
      <c r="A3" s="909"/>
      <c r="B3" s="910"/>
      <c r="C3" s="909"/>
      <c r="D3" s="909"/>
    </row>
    <row r="4" spans="1:5" x14ac:dyDescent="0.2">
      <c r="A4" s="911" t="s">
        <v>241</v>
      </c>
      <c r="B4" s="909"/>
      <c r="C4" s="909"/>
      <c r="D4" s="909"/>
    </row>
    <row r="5" spans="1:5" x14ac:dyDescent="0.2">
      <c r="A5" s="911"/>
      <c r="B5" s="909"/>
      <c r="C5" s="909"/>
      <c r="D5" s="909"/>
    </row>
    <row r="6" spans="1:5" ht="13.5" customHeight="1" x14ac:dyDescent="0.2">
      <c r="A6" s="912"/>
      <c r="B6" s="913" t="s">
        <v>242</v>
      </c>
      <c r="C6" s="914" t="s">
        <v>243</v>
      </c>
      <c r="D6" s="914" t="s">
        <v>244</v>
      </c>
    </row>
    <row r="7" spans="1:5" ht="13.5" customHeight="1" x14ac:dyDescent="0.2">
      <c r="A7" s="915">
        <v>1</v>
      </c>
      <c r="B7" s="916" t="str">
        <f>"Pārskata periods: "&amp;'Kopējie pieņēmumi'!B30&amp;" gadi"</f>
        <v>Pārskata periods: 30 gadi</v>
      </c>
      <c r="C7" s="917"/>
      <c r="D7" s="917"/>
    </row>
    <row r="8" spans="1:5" ht="13.5" customHeight="1" x14ac:dyDescent="0.2">
      <c r="A8" s="915">
        <v>2</v>
      </c>
      <c r="B8" s="916" t="str">
        <f>"Finansiālā nominālā diskonta likme: "&amp;'Kopējie pieņēmumi'!B16*100&amp;"%"</f>
        <v>Finansiālā nominālā diskonta likme: 7.4%</v>
      </c>
      <c r="C8" s="917"/>
      <c r="D8" s="917"/>
    </row>
    <row r="9" spans="1:5" ht="13.5" customHeight="1" x14ac:dyDescent="0.2">
      <c r="A9" s="915">
        <v>3</v>
      </c>
      <c r="B9" s="916" t="s">
        <v>269</v>
      </c>
      <c r="C9" s="918">
        <f>Aprekini!B159</f>
        <v>282985</v>
      </c>
      <c r="D9" s="918"/>
    </row>
    <row r="10" spans="1:5" ht="13.5" customHeight="1" x14ac:dyDescent="0.2">
      <c r="A10" s="915">
        <v>4</v>
      </c>
      <c r="B10" s="916" t="s">
        <v>270</v>
      </c>
      <c r="C10" s="918"/>
      <c r="D10" s="918">
        <f>Aprekini!B160</f>
        <v>261151.76215196503</v>
      </c>
    </row>
    <row r="11" spans="1:5" ht="13.5" customHeight="1" x14ac:dyDescent="0.2">
      <c r="A11" s="915">
        <v>5</v>
      </c>
      <c r="B11" s="916" t="s">
        <v>271</v>
      </c>
      <c r="C11" s="919">
        <f>Aprekini!B161</f>
        <v>77200</v>
      </c>
      <c r="D11" s="918"/>
    </row>
    <row r="12" spans="1:5" ht="13.5" customHeight="1" x14ac:dyDescent="0.2">
      <c r="A12" s="915">
        <v>6</v>
      </c>
      <c r="B12" s="916" t="s">
        <v>272</v>
      </c>
      <c r="C12" s="918"/>
      <c r="D12" s="918">
        <f>Aprekini!B162</f>
        <v>69545.616900568362</v>
      </c>
    </row>
    <row r="13" spans="1:5" ht="13.5" customHeight="1" x14ac:dyDescent="0.2">
      <c r="A13" s="915">
        <v>7</v>
      </c>
      <c r="B13" s="916" t="s">
        <v>273</v>
      </c>
      <c r="C13" s="918">
        <f>Aprekini!B169</f>
        <v>54164</v>
      </c>
      <c r="D13" s="918"/>
    </row>
    <row r="14" spans="1:5" ht="13.5" customHeight="1" x14ac:dyDescent="0.2">
      <c r="A14" s="915">
        <v>8</v>
      </c>
      <c r="B14" s="916" t="s">
        <v>274</v>
      </c>
      <c r="C14" s="918"/>
      <c r="D14" s="918">
        <f>Aprekini!B170</f>
        <v>6361.8333508233154</v>
      </c>
    </row>
    <row r="15" spans="1:5" ht="13.5" customHeight="1" x14ac:dyDescent="0.2">
      <c r="A15" s="915">
        <v>9</v>
      </c>
      <c r="B15" s="916" t="s">
        <v>275</v>
      </c>
      <c r="C15" s="918"/>
      <c r="D15" s="919">
        <f>Aprekini!B164</f>
        <v>304135.35227771039</v>
      </c>
    </row>
    <row r="16" spans="1:5" ht="13.5" customHeight="1" x14ac:dyDescent="0.2">
      <c r="A16" s="915">
        <v>10</v>
      </c>
      <c r="B16" s="916" t="s">
        <v>276</v>
      </c>
      <c r="C16" s="918"/>
      <c r="D16" s="918">
        <f>Aprekini!B165</f>
        <v>196587.02328998066</v>
      </c>
    </row>
    <row r="17" spans="1:7" ht="60.75" customHeight="1" x14ac:dyDescent="0.2">
      <c r="A17" s="915">
        <v>11</v>
      </c>
      <c r="B17" s="916" t="s">
        <v>300</v>
      </c>
      <c r="C17" s="918"/>
      <c r="D17" s="918">
        <f>(D15-D16+D14)*D12/D10</f>
        <v>30334.66994746431</v>
      </c>
    </row>
    <row r="18" spans="1:7" ht="31.5" customHeight="1" x14ac:dyDescent="0.2">
      <c r="A18" s="915">
        <v>12</v>
      </c>
      <c r="B18" s="916" t="s">
        <v>301</v>
      </c>
      <c r="C18" s="918"/>
      <c r="D18" s="918">
        <f>D12-D17</f>
        <v>39210.946953104052</v>
      </c>
    </row>
    <row r="19" spans="1:7" x14ac:dyDescent="0.2">
      <c r="A19" s="915">
        <v>13</v>
      </c>
      <c r="B19" s="916" t="s">
        <v>302</v>
      </c>
      <c r="C19" s="917"/>
      <c r="D19" s="920">
        <f>MIN(ROUND(D18/D12,8),1)</f>
        <v>0.56381621999999998</v>
      </c>
    </row>
    <row r="20" spans="1:7" x14ac:dyDescent="0.2">
      <c r="A20" s="183"/>
    </row>
    <row r="21" spans="1:7" x14ac:dyDescent="0.2">
      <c r="A21" s="183"/>
    </row>
    <row r="22" spans="1:7" x14ac:dyDescent="0.2">
      <c r="A22" s="921" t="s">
        <v>231</v>
      </c>
      <c r="B22" s="922"/>
      <c r="C22" s="922"/>
      <c r="D22" s="922"/>
      <c r="E22" s="922"/>
      <c r="F22" s="922"/>
      <c r="G22" s="136"/>
    </row>
    <row r="23" spans="1:7" x14ac:dyDescent="0.2">
      <c r="A23" s="922"/>
      <c r="B23" s="922"/>
      <c r="C23" s="922"/>
      <c r="D23" s="922"/>
      <c r="E23" s="922"/>
      <c r="F23" s="922"/>
      <c r="G23" s="136"/>
    </row>
    <row r="24" spans="1:7" ht="51" x14ac:dyDescent="0.2">
      <c r="A24" s="136"/>
      <c r="B24" s="923"/>
      <c r="C24" s="924" t="s">
        <v>232</v>
      </c>
      <c r="D24" s="924" t="s">
        <v>233</v>
      </c>
      <c r="E24" s="922"/>
      <c r="F24" s="922"/>
      <c r="G24" s="922"/>
    </row>
    <row r="25" spans="1:7" x14ac:dyDescent="0.2">
      <c r="A25" s="136"/>
      <c r="B25" s="923" t="s">
        <v>234</v>
      </c>
      <c r="C25" s="925">
        <f>Aprekini!$M$243</f>
        <v>9.422265151659559E-4</v>
      </c>
      <c r="D25" s="925">
        <f>Aprekini!$M$296</f>
        <v>9.7245010642119656E-3</v>
      </c>
      <c r="E25" s="922"/>
      <c r="F25" s="922"/>
      <c r="G25" s="922"/>
    </row>
    <row r="26" spans="1:7" x14ac:dyDescent="0.2">
      <c r="A26" s="136"/>
      <c r="B26" s="923" t="s">
        <v>277</v>
      </c>
      <c r="C26" s="926">
        <f>Aprekini!$M$244</f>
        <v>-125060.33271113997</v>
      </c>
      <c r="D26" s="926">
        <f>Aprekini!$M$297</f>
        <v>-84074.272769268297</v>
      </c>
      <c r="E26" s="922"/>
      <c r="F26" s="922"/>
      <c r="G26" s="922"/>
    </row>
    <row r="27" spans="1:7" x14ac:dyDescent="0.2">
      <c r="A27" s="136"/>
      <c r="B27" s="922"/>
      <c r="C27" s="922"/>
      <c r="D27" s="922"/>
      <c r="E27" s="922"/>
      <c r="F27" s="922"/>
      <c r="G27" s="922"/>
    </row>
    <row r="28" spans="1:7" x14ac:dyDescent="0.2">
      <c r="A28" s="136"/>
      <c r="B28" s="922"/>
      <c r="C28" s="922"/>
      <c r="D28" s="922"/>
      <c r="E28" s="922"/>
      <c r="F28" s="922"/>
      <c r="G28" s="922"/>
    </row>
    <row r="29" spans="1:7" x14ac:dyDescent="0.2">
      <c r="A29" s="921" t="s">
        <v>310</v>
      </c>
      <c r="B29" s="927"/>
      <c r="C29" s="922"/>
      <c r="D29" s="922"/>
      <c r="E29" s="922"/>
      <c r="F29" s="922"/>
      <c r="G29" s="922"/>
    </row>
    <row r="30" spans="1:7" x14ac:dyDescent="0.2">
      <c r="A30" s="183"/>
      <c r="B30" s="922"/>
      <c r="C30" s="922"/>
      <c r="D30" s="922"/>
      <c r="E30" s="922"/>
      <c r="F30" s="922"/>
      <c r="G30" s="922"/>
    </row>
    <row r="31" spans="1:7" ht="89.25" x14ac:dyDescent="0.2">
      <c r="A31" s="183"/>
      <c r="B31" s="928" t="s">
        <v>278</v>
      </c>
      <c r="C31" s="928" t="s">
        <v>235</v>
      </c>
      <c r="D31" s="928" t="s">
        <v>236</v>
      </c>
      <c r="E31" s="928" t="s">
        <v>279</v>
      </c>
      <c r="F31" s="928" t="s">
        <v>237</v>
      </c>
      <c r="G31" s="928" t="s">
        <v>280</v>
      </c>
    </row>
    <row r="32" spans="1:7" x14ac:dyDescent="0.2">
      <c r="A32" s="183"/>
      <c r="B32" s="929">
        <v>1</v>
      </c>
      <c r="C32" s="929">
        <v>2</v>
      </c>
      <c r="D32" s="929">
        <v>3</v>
      </c>
      <c r="E32" s="929" t="s">
        <v>238</v>
      </c>
      <c r="F32" s="929" t="s">
        <v>239</v>
      </c>
      <c r="G32" s="929" t="s">
        <v>240</v>
      </c>
    </row>
    <row r="33" spans="1:7" x14ac:dyDescent="0.2">
      <c r="A33" s="183"/>
      <c r="B33" s="930">
        <f>C11</f>
        <v>77200</v>
      </c>
      <c r="C33" s="931">
        <f>D19</f>
        <v>0.56381621999999998</v>
      </c>
      <c r="D33" s="932">
        <f>'Kopējie pieņēmumi'!B34</f>
        <v>0.85</v>
      </c>
      <c r="E33" s="933">
        <f>B33*C33</f>
        <v>43526.612183999998</v>
      </c>
      <c r="F33" s="934">
        <f>ROUND(G33/B33,8)</f>
        <v>0.47924379</v>
      </c>
      <c r="G33" s="935">
        <f>E33*D33</f>
        <v>36997.620356399995</v>
      </c>
    </row>
    <row r="34" spans="1:7" x14ac:dyDescent="0.2">
      <c r="A34" s="183"/>
      <c r="B34" s="936"/>
      <c r="C34" s="937"/>
      <c r="D34" s="938"/>
      <c r="E34" s="939"/>
      <c r="F34" s="940"/>
      <c r="G34" s="939"/>
    </row>
    <row r="35" spans="1:7" x14ac:dyDescent="0.2">
      <c r="A35" s="183"/>
      <c r="B35" s="941">
        <f>C9</f>
        <v>282985</v>
      </c>
      <c r="C35" s="942" t="s">
        <v>320</v>
      </c>
      <c r="D35" s="942"/>
      <c r="E35" s="942"/>
      <c r="F35" s="943">
        <f>G33/B35</f>
        <v>0.1307405705475555</v>
      </c>
      <c r="G35" s="944"/>
    </row>
    <row r="36" spans="1:7" x14ac:dyDescent="0.2">
      <c r="A36" s="183"/>
      <c r="B36" s="252" t="s">
        <v>318</v>
      </c>
    </row>
    <row r="37" spans="1:7" ht="89.25" x14ac:dyDescent="0.2">
      <c r="A37" s="183"/>
      <c r="B37" s="945" t="s">
        <v>278</v>
      </c>
      <c r="C37" s="945" t="s">
        <v>235</v>
      </c>
      <c r="D37" s="945" t="s">
        <v>236</v>
      </c>
      <c r="E37" s="945" t="s">
        <v>279</v>
      </c>
      <c r="F37" s="945" t="s">
        <v>237</v>
      </c>
      <c r="G37" s="945" t="s">
        <v>280</v>
      </c>
    </row>
    <row r="38" spans="1:7" ht="13.5" thickBot="1" x14ac:dyDescent="0.25">
      <c r="A38" s="183"/>
      <c r="B38" s="946">
        <v>1</v>
      </c>
      <c r="C38" s="946">
        <v>2</v>
      </c>
      <c r="D38" s="946">
        <v>3</v>
      </c>
      <c r="E38" s="946" t="s">
        <v>238</v>
      </c>
      <c r="F38" s="947" t="s">
        <v>239</v>
      </c>
      <c r="G38" s="946" t="s">
        <v>240</v>
      </c>
    </row>
    <row r="39" spans="1:7" ht="13.5" thickBot="1" x14ac:dyDescent="0.25">
      <c r="A39" s="183"/>
      <c r="B39" s="930">
        <f>B33</f>
        <v>77200</v>
      </c>
      <c r="C39" s="931">
        <f>D19</f>
        <v>0.56381621999999998</v>
      </c>
      <c r="D39" s="932">
        <v>0.85</v>
      </c>
      <c r="E39" s="948">
        <f>B39*C39</f>
        <v>43526.612183999998</v>
      </c>
      <c r="F39" s="949">
        <f>ROUND(G39/B39,8)</f>
        <v>0.47924379</v>
      </c>
      <c r="G39" s="950">
        <f>MIN(E39*D39,'Datu ievade'!B179)</f>
        <v>36997.620356399995</v>
      </c>
    </row>
    <row r="40" spans="1:7" x14ac:dyDescent="0.2">
      <c r="A40" s="183"/>
      <c r="B40" s="137"/>
      <c r="C40" s="137"/>
      <c r="D40" s="137"/>
      <c r="E40" s="137"/>
      <c r="F40" s="951"/>
      <c r="G40" s="952"/>
    </row>
    <row r="41" spans="1:7" x14ac:dyDescent="0.2">
      <c r="A41" s="183"/>
      <c r="B41" s="953"/>
      <c r="C41" s="953"/>
      <c r="D41" s="953"/>
      <c r="E41" s="953"/>
      <c r="F41" s="953"/>
      <c r="G41" s="953"/>
    </row>
    <row r="42" spans="1:7" x14ac:dyDescent="0.2">
      <c r="A42" s="921" t="s">
        <v>311</v>
      </c>
      <c r="B42" s="954" t="s">
        <v>309</v>
      </c>
      <c r="C42" s="955"/>
      <c r="D42" s="955"/>
      <c r="E42" s="955"/>
      <c r="F42" s="955"/>
      <c r="G42" s="955"/>
    </row>
    <row r="43" spans="1:7" x14ac:dyDescent="0.2">
      <c r="B43" s="956"/>
      <c r="C43" s="956"/>
      <c r="D43" s="956"/>
      <c r="E43" s="956"/>
      <c r="F43" s="956"/>
      <c r="G43" s="957"/>
    </row>
    <row r="44" spans="1:7" ht="102.75" thickBot="1" x14ac:dyDescent="0.25">
      <c r="B44" s="945" t="s">
        <v>278</v>
      </c>
      <c r="C44" s="945" t="s">
        <v>263</v>
      </c>
      <c r="D44" s="945" t="s">
        <v>319</v>
      </c>
      <c r="E44" s="958" t="s">
        <v>281</v>
      </c>
      <c r="F44" s="958" t="s">
        <v>265</v>
      </c>
      <c r="G44" s="959"/>
    </row>
    <row r="45" spans="1:7" ht="13.5" thickBot="1" x14ac:dyDescent="0.25">
      <c r="B45" s="960">
        <f>B33</f>
        <v>77200</v>
      </c>
      <c r="C45" s="961">
        <f>D19</f>
        <v>0.56381621999999998</v>
      </c>
      <c r="D45" s="962">
        <f>E45/E33</f>
        <v>0</v>
      </c>
      <c r="E45" s="963">
        <f>$B$45*$F$45</f>
        <v>0</v>
      </c>
      <c r="F45" s="964">
        <f>'Kopējie pieņēmumi'!B35</f>
        <v>0</v>
      </c>
      <c r="G45" s="965"/>
    </row>
    <row r="46" spans="1:7" x14ac:dyDescent="0.2">
      <c r="B46" s="956"/>
      <c r="C46" s="956"/>
      <c r="D46" s="956"/>
      <c r="E46" s="956"/>
      <c r="F46" s="956"/>
      <c r="G46" s="957"/>
    </row>
    <row r="47" spans="1:7" x14ac:dyDescent="0.2">
      <c r="B47" s="956"/>
      <c r="C47" s="956"/>
      <c r="D47" s="956"/>
      <c r="E47" s="956"/>
      <c r="F47" s="956"/>
      <c r="G47" s="956"/>
    </row>
    <row r="48" spans="1:7" x14ac:dyDescent="0.2">
      <c r="A48" s="921" t="s">
        <v>403</v>
      </c>
      <c r="B48" s="954"/>
      <c r="C48" s="956"/>
      <c r="D48" s="956"/>
      <c r="E48" s="956"/>
      <c r="F48" s="957"/>
      <c r="G48" s="957"/>
    </row>
    <row r="49" spans="2:7" x14ac:dyDescent="0.2">
      <c r="B49" s="954"/>
      <c r="C49" s="956"/>
      <c r="D49" s="956"/>
      <c r="E49" s="956"/>
      <c r="F49" s="957"/>
      <c r="G49" s="957"/>
    </row>
    <row r="50" spans="2:7" ht="77.25" thickBot="1" x14ac:dyDescent="0.25">
      <c r="B50" s="945" t="s">
        <v>278</v>
      </c>
      <c r="C50" s="945" t="s">
        <v>263</v>
      </c>
      <c r="D50" s="945" t="s">
        <v>282</v>
      </c>
      <c r="E50" s="958" t="s">
        <v>264</v>
      </c>
      <c r="F50" s="945" t="s">
        <v>283</v>
      </c>
      <c r="G50" s="945" t="s">
        <v>284</v>
      </c>
    </row>
    <row r="51" spans="2:7" ht="13.5" thickBot="1" x14ac:dyDescent="0.25">
      <c r="B51" s="960">
        <f>B33</f>
        <v>77200</v>
      </c>
      <c r="C51" s="961">
        <f>D19</f>
        <v>0.56381621999999998</v>
      </c>
      <c r="D51" s="966">
        <f>B51*(1-C51)</f>
        <v>33673.387816000002</v>
      </c>
      <c r="E51" s="964">
        <f>G51/B51</f>
        <v>0.52075621300000008</v>
      </c>
      <c r="F51" s="967">
        <f>E39-G39-E45</f>
        <v>6528.9918276000026</v>
      </c>
      <c r="G51" s="968">
        <f>D51+F51</f>
        <v>40202.379643600005</v>
      </c>
    </row>
    <row r="52" spans="2:7" x14ac:dyDescent="0.2">
      <c r="B52" s="137"/>
      <c r="C52" s="137"/>
      <c r="D52" s="137"/>
      <c r="E52" s="137"/>
      <c r="F52" s="137"/>
      <c r="G52" s="137"/>
    </row>
    <row r="53" spans="2:7" x14ac:dyDescent="0.2">
      <c r="D53" s="969"/>
    </row>
  </sheetData>
  <sheetProtection algorithmName="SHA-512" hashValue="tQstgSKI9ch1FI5YZXv5RcQ2HyISSHvOWpWdkIyV6DVB+XK03FbvTJqhjmY++Uz2t0npFp2dY1WsWCF6hNSb6A==" saltValue="cnsHBTjWaq3Fm68yg9IzEg==" spinCount="100000" sheet="1" objects="1" scenarios="1"/>
  <mergeCells count="2">
    <mergeCell ref="C2:E2"/>
    <mergeCell ref="A1:B1"/>
  </mergeCells>
  <phoneticPr fontId="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59999389629810485"/>
  </sheetPr>
  <dimension ref="A1:IQ172"/>
  <sheetViews>
    <sheetView showGridLines="0" zoomScaleSheetLayoutView="90" workbookViewId="0">
      <pane xSplit="1" topLeftCell="B1" activePane="topRight" state="frozen"/>
      <selection pane="topRight" activeCell="I4" sqref="I4"/>
    </sheetView>
  </sheetViews>
  <sheetFormatPr defaultColWidth="9.140625" defaultRowHeight="11.25" outlineLevelRow="1" x14ac:dyDescent="0.2"/>
  <cols>
    <col min="1" max="1" width="38.85546875" style="254" bestFit="1" customWidth="1"/>
    <col min="2" max="2" width="13.85546875" style="254" customWidth="1"/>
    <col min="3" max="3" width="11.42578125" style="254" customWidth="1"/>
    <col min="4" max="34" width="10.7109375" style="254" bestFit="1" customWidth="1"/>
    <col min="35" max="35" width="11.7109375" style="254" customWidth="1"/>
    <col min="36" max="16384" width="9.140625" style="254"/>
  </cols>
  <sheetData>
    <row r="1" spans="1:35" ht="18" customHeight="1" x14ac:dyDescent="0.2">
      <c r="A1" s="1051" t="s">
        <v>509</v>
      </c>
      <c r="B1" s="1051"/>
      <c r="C1" s="1051"/>
      <c r="D1" s="1051"/>
      <c r="E1" s="1051"/>
    </row>
    <row r="2" spans="1:35" s="154" customFormat="1" ht="16.5" x14ac:dyDescent="0.2">
      <c r="A2" s="22">
        <f>'Datu ievade'!$B$10</f>
        <v>0</v>
      </c>
      <c r="B2" s="23">
        <f>'Datu ievade'!$B$11</f>
        <v>0</v>
      </c>
    </row>
    <row r="4" spans="1:35" ht="31.5" x14ac:dyDescent="0.2">
      <c r="A4" s="167" t="s">
        <v>228</v>
      </c>
      <c r="B4" s="168"/>
      <c r="C4" s="168"/>
      <c r="D4" s="255"/>
      <c r="E4" s="169"/>
      <c r="F4" s="169"/>
      <c r="G4" s="169"/>
      <c r="H4" s="169"/>
      <c r="I4" s="169"/>
      <c r="J4" s="169"/>
      <c r="K4" s="169"/>
      <c r="L4" s="169"/>
      <c r="M4" s="169"/>
      <c r="N4" s="169"/>
      <c r="O4" s="169"/>
      <c r="P4" s="169"/>
      <c r="Q4" s="169"/>
      <c r="R4" s="169"/>
      <c r="S4" s="170"/>
      <c r="T4" s="170"/>
      <c r="U4" s="170"/>
      <c r="V4" s="170"/>
      <c r="W4" s="170"/>
      <c r="X4" s="170"/>
      <c r="Y4" s="170"/>
      <c r="Z4" s="170"/>
      <c r="AA4" s="170"/>
      <c r="AB4" s="170"/>
      <c r="AC4" s="170"/>
      <c r="AD4" s="170"/>
      <c r="AE4" s="170"/>
      <c r="AF4" s="170"/>
      <c r="AG4" s="170"/>
      <c r="AH4" s="170"/>
      <c r="AI4" s="256"/>
    </row>
    <row r="5" spans="1:35" ht="12.75" x14ac:dyDescent="0.2">
      <c r="A5" s="257"/>
      <c r="B5" s="258"/>
      <c r="C5" s="258"/>
      <c r="D5" s="258"/>
      <c r="E5" s="148"/>
      <c r="F5" s="148"/>
      <c r="G5" s="148"/>
      <c r="H5" s="148"/>
      <c r="I5" s="148"/>
      <c r="J5" s="148"/>
      <c r="K5" s="148" t="s">
        <v>16</v>
      </c>
      <c r="L5" s="148"/>
      <c r="M5" s="148"/>
      <c r="N5" s="148"/>
      <c r="O5" s="148"/>
      <c r="P5" s="148"/>
      <c r="Q5" s="148"/>
      <c r="R5" s="148"/>
      <c r="S5" s="258"/>
      <c r="T5" s="258"/>
      <c r="U5" s="116"/>
      <c r="V5" s="116"/>
      <c r="W5" s="116"/>
      <c r="X5" s="116"/>
      <c r="Y5" s="116"/>
      <c r="Z5" s="116"/>
      <c r="AA5" s="116"/>
      <c r="AB5" s="116"/>
      <c r="AC5" s="116"/>
      <c r="AD5" s="116"/>
      <c r="AE5" s="116"/>
      <c r="AF5" s="116"/>
      <c r="AG5" s="116"/>
      <c r="AH5" s="116"/>
      <c r="AI5" s="259"/>
    </row>
    <row r="6" spans="1:35" s="260" customFormat="1" ht="12.75" x14ac:dyDescent="0.2">
      <c r="A6" s="17"/>
      <c r="B6" s="174">
        <f>Aprekini!B5</f>
        <v>2019</v>
      </c>
      <c r="C6" s="174">
        <f t="shared" ref="C6:AG6" si="0">B6+1</f>
        <v>2020</v>
      </c>
      <c r="D6" s="174">
        <f t="shared" si="0"/>
        <v>2021</v>
      </c>
      <c r="E6" s="174">
        <f t="shared" si="0"/>
        <v>2022</v>
      </c>
      <c r="F6" s="174">
        <f t="shared" si="0"/>
        <v>2023</v>
      </c>
      <c r="G6" s="174">
        <f t="shared" si="0"/>
        <v>2024</v>
      </c>
      <c r="H6" s="174">
        <f t="shared" si="0"/>
        <v>2025</v>
      </c>
      <c r="I6" s="174">
        <f t="shared" si="0"/>
        <v>2026</v>
      </c>
      <c r="J6" s="174">
        <f t="shared" si="0"/>
        <v>2027</v>
      </c>
      <c r="K6" s="174">
        <f t="shared" si="0"/>
        <v>2028</v>
      </c>
      <c r="L6" s="174">
        <f t="shared" si="0"/>
        <v>2029</v>
      </c>
      <c r="M6" s="174">
        <f t="shared" si="0"/>
        <v>2030</v>
      </c>
      <c r="N6" s="174">
        <f t="shared" si="0"/>
        <v>2031</v>
      </c>
      <c r="O6" s="174">
        <f t="shared" si="0"/>
        <v>2032</v>
      </c>
      <c r="P6" s="174">
        <f t="shared" si="0"/>
        <v>2033</v>
      </c>
      <c r="Q6" s="174">
        <f t="shared" si="0"/>
        <v>2034</v>
      </c>
      <c r="R6" s="174">
        <f t="shared" si="0"/>
        <v>2035</v>
      </c>
      <c r="S6" s="174">
        <f t="shared" si="0"/>
        <v>2036</v>
      </c>
      <c r="T6" s="174">
        <f t="shared" si="0"/>
        <v>2037</v>
      </c>
      <c r="U6" s="174">
        <f t="shared" si="0"/>
        <v>2038</v>
      </c>
      <c r="V6" s="174">
        <f t="shared" si="0"/>
        <v>2039</v>
      </c>
      <c r="W6" s="174">
        <f t="shared" si="0"/>
        <v>2040</v>
      </c>
      <c r="X6" s="174">
        <f t="shared" si="0"/>
        <v>2041</v>
      </c>
      <c r="Y6" s="174">
        <f t="shared" si="0"/>
        <v>2042</v>
      </c>
      <c r="Z6" s="174">
        <f t="shared" si="0"/>
        <v>2043</v>
      </c>
      <c r="AA6" s="174">
        <f t="shared" si="0"/>
        <v>2044</v>
      </c>
      <c r="AB6" s="174">
        <f t="shared" si="0"/>
        <v>2045</v>
      </c>
      <c r="AC6" s="174">
        <f t="shared" si="0"/>
        <v>2046</v>
      </c>
      <c r="AD6" s="174">
        <f t="shared" si="0"/>
        <v>2047</v>
      </c>
      <c r="AE6" s="174">
        <f t="shared" si="0"/>
        <v>2048</v>
      </c>
      <c r="AF6" s="174">
        <f t="shared" si="0"/>
        <v>2049</v>
      </c>
      <c r="AG6" s="174">
        <f t="shared" si="0"/>
        <v>2050</v>
      </c>
      <c r="AH6" s="174">
        <f>AG6+1</f>
        <v>2051</v>
      </c>
      <c r="AI6" s="174">
        <f>AH6+1</f>
        <v>2052</v>
      </c>
    </row>
    <row r="7" spans="1:35" s="260" customFormat="1" ht="12.75" x14ac:dyDescent="0.2">
      <c r="A7" s="261" t="s">
        <v>66</v>
      </c>
      <c r="B7" s="868">
        <f>SUM(B8:B12)</f>
        <v>158203.32</v>
      </c>
      <c r="C7" s="868">
        <f t="shared" ref="C7:AI7" si="1">SUM(C8:C12)</f>
        <v>162949.41959999999</v>
      </c>
      <c r="D7" s="868">
        <f t="shared" si="1"/>
        <v>166113.486</v>
      </c>
      <c r="E7" s="868">
        <f t="shared" si="1"/>
        <v>169277.55240000004</v>
      </c>
      <c r="F7" s="868">
        <f t="shared" si="1"/>
        <v>172441.6188</v>
      </c>
      <c r="G7" s="868">
        <f t="shared" si="1"/>
        <v>175605.68520000001</v>
      </c>
      <c r="H7" s="868">
        <f t="shared" si="1"/>
        <v>178769.75159999996</v>
      </c>
      <c r="I7" s="868">
        <f t="shared" si="1"/>
        <v>181933.81799999997</v>
      </c>
      <c r="J7" s="868">
        <f t="shared" si="1"/>
        <v>185097.88440000001</v>
      </c>
      <c r="K7" s="868">
        <f t="shared" si="1"/>
        <v>188261.95079999999</v>
      </c>
      <c r="L7" s="868">
        <f t="shared" si="1"/>
        <v>191426.0172</v>
      </c>
      <c r="M7" s="868">
        <f t="shared" si="1"/>
        <v>194590.08359999998</v>
      </c>
      <c r="N7" s="868">
        <f t="shared" si="1"/>
        <v>197754.15</v>
      </c>
      <c r="O7" s="868">
        <f t="shared" si="1"/>
        <v>202500.24960000001</v>
      </c>
      <c r="P7" s="868">
        <f t="shared" si="1"/>
        <v>207246.3492</v>
      </c>
      <c r="Q7" s="868">
        <f t="shared" si="1"/>
        <v>211992.44880000001</v>
      </c>
      <c r="R7" s="868">
        <f t="shared" si="1"/>
        <v>216738.5484</v>
      </c>
      <c r="S7" s="868">
        <f t="shared" si="1"/>
        <v>221484.64800000002</v>
      </c>
      <c r="T7" s="868">
        <f t="shared" si="1"/>
        <v>226230.74759999997</v>
      </c>
      <c r="U7" s="868">
        <f t="shared" si="1"/>
        <v>230976.84719999999</v>
      </c>
      <c r="V7" s="868">
        <f t="shared" si="1"/>
        <v>235722.94679999998</v>
      </c>
      <c r="W7" s="868">
        <f t="shared" si="1"/>
        <v>240469.04639999999</v>
      </c>
      <c r="X7" s="868">
        <f t="shared" si="1"/>
        <v>245215.14600000004</v>
      </c>
      <c r="Y7" s="868">
        <f t="shared" si="1"/>
        <v>249961.24560000002</v>
      </c>
      <c r="Z7" s="868">
        <f t="shared" si="1"/>
        <v>254707.34520000001</v>
      </c>
      <c r="AA7" s="868">
        <f t="shared" si="1"/>
        <v>259453.4448</v>
      </c>
      <c r="AB7" s="868">
        <f t="shared" si="1"/>
        <v>264199.54439999996</v>
      </c>
      <c r="AC7" s="868">
        <f t="shared" si="1"/>
        <v>268945.64399999997</v>
      </c>
      <c r="AD7" s="868">
        <f t="shared" si="1"/>
        <v>273691.74359999999</v>
      </c>
      <c r="AE7" s="868">
        <f t="shared" si="1"/>
        <v>278437.84320000006</v>
      </c>
      <c r="AF7" s="868">
        <f t="shared" si="1"/>
        <v>284765.97600000002</v>
      </c>
      <c r="AG7" s="868">
        <f t="shared" si="1"/>
        <v>291094.10880000005</v>
      </c>
      <c r="AH7" s="868">
        <f t="shared" si="1"/>
        <v>297422.24160000001</v>
      </c>
      <c r="AI7" s="868">
        <f t="shared" si="1"/>
        <v>303750.37440000003</v>
      </c>
    </row>
    <row r="8" spans="1:35" s="260" customFormat="1" ht="12.75" x14ac:dyDescent="0.2">
      <c r="A8" s="262" t="s">
        <v>67</v>
      </c>
      <c r="B8" s="745">
        <f>'gadu šķirošana'!C34</f>
        <v>50000</v>
      </c>
      <c r="C8" s="745">
        <f>$B8*'gadu šķirošana'!D$75</f>
        <v>51500</v>
      </c>
      <c r="D8" s="746">
        <f>$B8*'gadu šķirošana'!E$75</f>
        <v>52500</v>
      </c>
      <c r="E8" s="746">
        <f>$B8*'gadu šķirošana'!F$75</f>
        <v>53500</v>
      </c>
      <c r="F8" s="746">
        <f>$B8*'gadu šķirošana'!G$75</f>
        <v>54500.000000000007</v>
      </c>
      <c r="G8" s="746">
        <f>$B8*'gadu šķirošana'!H$75</f>
        <v>55500.000000000007</v>
      </c>
      <c r="H8" s="746">
        <f>$B8*'gadu šķirošana'!I$75</f>
        <v>56499.999999999993</v>
      </c>
      <c r="I8" s="746">
        <f>$B8*'gadu šķirošana'!J$75</f>
        <v>57499.999999999993</v>
      </c>
      <c r="J8" s="746">
        <f>$B8*'gadu šķirošana'!K$75</f>
        <v>58500</v>
      </c>
      <c r="K8" s="746">
        <f>$B8*'gadu šķirošana'!L$75</f>
        <v>59500</v>
      </c>
      <c r="L8" s="746">
        <f>$B8*'gadu šķirošana'!M$75</f>
        <v>60500</v>
      </c>
      <c r="M8" s="746">
        <f>$B8*'gadu šķirošana'!N$75</f>
        <v>61500</v>
      </c>
      <c r="N8" s="746">
        <f>$B8*'gadu šķirošana'!O$75</f>
        <v>62500</v>
      </c>
      <c r="O8" s="746">
        <f>$B8*'gadu šķirošana'!P$75</f>
        <v>64000</v>
      </c>
      <c r="P8" s="746">
        <f>$B8*'gadu šķirošana'!Q$75</f>
        <v>65500</v>
      </c>
      <c r="Q8" s="746">
        <f>$B8*'gadu šķirošana'!R$75</f>
        <v>67000</v>
      </c>
      <c r="R8" s="746">
        <f>$B8*'gadu šķirošana'!S$75</f>
        <v>68500</v>
      </c>
      <c r="S8" s="746">
        <f>$B8*'gadu šķirošana'!T$75</f>
        <v>70000</v>
      </c>
      <c r="T8" s="746">
        <f>$B8*'gadu šķirošana'!U$75</f>
        <v>71500</v>
      </c>
      <c r="U8" s="746">
        <f>$B8*'gadu šķirošana'!V$75</f>
        <v>73000</v>
      </c>
      <c r="V8" s="746">
        <f>$B8*'gadu šķirošana'!W$75</f>
        <v>74500</v>
      </c>
      <c r="W8" s="746">
        <f>$B8*'gadu šķirošana'!X$75</f>
        <v>76000</v>
      </c>
      <c r="X8" s="746">
        <f>$B8*'gadu šķirošana'!Y$75</f>
        <v>77500</v>
      </c>
      <c r="Y8" s="746">
        <f>$B8*'gadu šķirošana'!Z$75</f>
        <v>79000</v>
      </c>
      <c r="Z8" s="746">
        <f>$B8*'gadu šķirošana'!AA$75</f>
        <v>80500</v>
      </c>
      <c r="AA8" s="746">
        <f>$B8*'gadu šķirošana'!AB$75</f>
        <v>82000</v>
      </c>
      <c r="AB8" s="746">
        <f>$B8*'gadu šķirošana'!AC$75</f>
        <v>83500</v>
      </c>
      <c r="AC8" s="746">
        <f>$B8*'gadu šķirošana'!AD$75</f>
        <v>85000</v>
      </c>
      <c r="AD8" s="746">
        <f>$B8*'gadu šķirošana'!AE$75</f>
        <v>86500</v>
      </c>
      <c r="AE8" s="746">
        <f>$B8*'gadu šķirošana'!AF$75</f>
        <v>88000</v>
      </c>
      <c r="AF8" s="746">
        <f>$B8*'gadu šķirošana'!AG$75</f>
        <v>90000</v>
      </c>
      <c r="AG8" s="746">
        <f>$B8*'gadu šķirošana'!AH$75</f>
        <v>92000</v>
      </c>
      <c r="AH8" s="746">
        <f>$B8*'gadu šķirošana'!AI$75</f>
        <v>94000</v>
      </c>
      <c r="AI8" s="746">
        <f>$B8*'gadu šķirošana'!AJ$75</f>
        <v>96000</v>
      </c>
    </row>
    <row r="9" spans="1:35" s="260" customFormat="1" ht="12.75" x14ac:dyDescent="0.2">
      <c r="A9" s="263" t="s">
        <v>68</v>
      </c>
      <c r="B9" s="745">
        <f>'gadu šķirošana'!C35</f>
        <v>41814</v>
      </c>
      <c r="C9" s="745">
        <f>$B9*'gadu šķirošana'!D$75</f>
        <v>43068.42</v>
      </c>
      <c r="D9" s="746">
        <f>$B9*'gadu šķirošana'!E$75</f>
        <v>43904.700000000004</v>
      </c>
      <c r="E9" s="746">
        <f>$B9*'gadu šķirošana'!F$75</f>
        <v>44740.98</v>
      </c>
      <c r="F9" s="746">
        <f>$B9*'gadu šķirošana'!G$75</f>
        <v>45577.26</v>
      </c>
      <c r="G9" s="746">
        <f>$B9*'gadu šķirošana'!H$75</f>
        <v>46413.54</v>
      </c>
      <c r="H9" s="746">
        <f>$B9*'gadu šķirošana'!I$75</f>
        <v>47249.819999999992</v>
      </c>
      <c r="I9" s="746">
        <f>$B9*'gadu šķirošana'!J$75</f>
        <v>48086.1</v>
      </c>
      <c r="J9" s="746">
        <f>$B9*'gadu šķirošana'!K$75</f>
        <v>48922.38</v>
      </c>
      <c r="K9" s="746">
        <f>$B9*'gadu šķirošana'!L$75</f>
        <v>49758.659999999996</v>
      </c>
      <c r="L9" s="746">
        <f>$B9*'gadu šķirošana'!M$75</f>
        <v>50594.939999999995</v>
      </c>
      <c r="M9" s="746">
        <f>$B9*'gadu šķirošana'!N$75</f>
        <v>51431.22</v>
      </c>
      <c r="N9" s="746">
        <f>$B9*'gadu šķirošana'!O$75</f>
        <v>52267.5</v>
      </c>
      <c r="O9" s="746">
        <f>$B9*'gadu šķirošana'!P$75</f>
        <v>53521.919999999998</v>
      </c>
      <c r="P9" s="746">
        <f>$B9*'gadu šķirošana'!Q$75</f>
        <v>54776.340000000004</v>
      </c>
      <c r="Q9" s="746">
        <f>$B9*'gadu šķirošana'!R$75</f>
        <v>56030.76</v>
      </c>
      <c r="R9" s="746">
        <f>$B9*'gadu šķirošana'!S$75</f>
        <v>57285.180000000008</v>
      </c>
      <c r="S9" s="746">
        <f>$B9*'gadu šķirošana'!T$75</f>
        <v>58539.6</v>
      </c>
      <c r="T9" s="746">
        <f>$B9*'gadu šķirošana'!U$75</f>
        <v>59794.02</v>
      </c>
      <c r="U9" s="746">
        <f>$B9*'gadu šķirošana'!V$75</f>
        <v>61048.439999999995</v>
      </c>
      <c r="V9" s="746">
        <f>$B9*'gadu šķirošana'!W$75</f>
        <v>62302.86</v>
      </c>
      <c r="W9" s="746">
        <f>$B9*'gadu šķirošana'!X$75</f>
        <v>63557.279999999999</v>
      </c>
      <c r="X9" s="746">
        <f>$B9*'gadu šķirošana'!Y$75</f>
        <v>64811.700000000004</v>
      </c>
      <c r="Y9" s="746">
        <f>$B9*'gadu šķirošana'!Z$75</f>
        <v>66066.12000000001</v>
      </c>
      <c r="Z9" s="746">
        <f>$B9*'gadu šķirošana'!AA$75</f>
        <v>67320.540000000008</v>
      </c>
      <c r="AA9" s="746">
        <f>$B9*'gadu šķirošana'!AB$75</f>
        <v>68574.959999999992</v>
      </c>
      <c r="AB9" s="746">
        <f>$B9*'gadu šķirošana'!AC$75</f>
        <v>69829.37999999999</v>
      </c>
      <c r="AC9" s="746">
        <f>$B9*'gadu šķirošana'!AD$75</f>
        <v>71083.8</v>
      </c>
      <c r="AD9" s="746">
        <f>$B9*'gadu šķirošana'!AE$75</f>
        <v>72338.22</v>
      </c>
      <c r="AE9" s="746">
        <f>$B9*'gadu šķirošana'!AF$75</f>
        <v>73592.639999999999</v>
      </c>
      <c r="AF9" s="746">
        <f>$B9*'gadu šķirošana'!AG$75</f>
        <v>75265.2</v>
      </c>
      <c r="AG9" s="746">
        <f>$B9*'gadu šķirošana'!AH$75</f>
        <v>76937.760000000009</v>
      </c>
      <c r="AH9" s="746">
        <f>$B9*'gadu šķirošana'!AI$75</f>
        <v>78610.319999999992</v>
      </c>
      <c r="AI9" s="746">
        <f>$B9*'gadu šķirošana'!AJ$75</f>
        <v>80282.87999999999</v>
      </c>
    </row>
    <row r="10" spans="1:35" s="260" customFormat="1" ht="12.75" x14ac:dyDescent="0.2">
      <c r="A10" s="263" t="s">
        <v>69</v>
      </c>
      <c r="B10" s="745">
        <f>'gadu šķirošana'!C36</f>
        <v>18409.27</v>
      </c>
      <c r="C10" s="745">
        <f>$B10*'gadu šķirošana'!D$75</f>
        <v>18961.5481</v>
      </c>
      <c r="D10" s="746">
        <f>$B10*'gadu šķirošana'!E$75</f>
        <v>19329.733500000002</v>
      </c>
      <c r="E10" s="746">
        <f>$B10*'gadu šķirošana'!F$75</f>
        <v>19697.918900000001</v>
      </c>
      <c r="F10" s="746">
        <f>$B10*'gadu šķirošana'!G$75</f>
        <v>20066.104300000003</v>
      </c>
      <c r="G10" s="746">
        <f>$B10*'gadu šķirošana'!H$75</f>
        <v>20434.289700000001</v>
      </c>
      <c r="H10" s="746">
        <f>$B10*'gadu šķirošana'!I$75</f>
        <v>20802.4751</v>
      </c>
      <c r="I10" s="746">
        <f>$B10*'gadu šķirošana'!J$75</f>
        <v>21170.660499999998</v>
      </c>
      <c r="J10" s="746">
        <f>$B10*'gadu šķirošana'!K$75</f>
        <v>21538.8459</v>
      </c>
      <c r="K10" s="746">
        <f>$B10*'gadu šķirošana'!L$75</f>
        <v>21907.031299999999</v>
      </c>
      <c r="L10" s="746">
        <f>$B10*'gadu šķirošana'!M$75</f>
        <v>22275.216700000001</v>
      </c>
      <c r="M10" s="746">
        <f>$B10*'gadu šķirošana'!N$75</f>
        <v>22643.402099999999</v>
      </c>
      <c r="N10" s="746">
        <f>$B10*'gadu šķirošana'!O$75</f>
        <v>23011.587500000001</v>
      </c>
      <c r="O10" s="746">
        <f>$B10*'gadu šķirošana'!P$75</f>
        <v>23563.865600000001</v>
      </c>
      <c r="P10" s="746">
        <f>$B10*'gadu šķirošana'!Q$75</f>
        <v>24116.143700000001</v>
      </c>
      <c r="Q10" s="746">
        <f>$B10*'gadu šķirošana'!R$75</f>
        <v>24668.421800000004</v>
      </c>
      <c r="R10" s="746">
        <f>$B10*'gadu šķirošana'!S$75</f>
        <v>25220.699900000003</v>
      </c>
      <c r="S10" s="746">
        <f>$B10*'gadu šķirošana'!T$75</f>
        <v>25772.977999999999</v>
      </c>
      <c r="T10" s="746">
        <f>$B10*'gadu šķirošana'!U$75</f>
        <v>26325.256099999999</v>
      </c>
      <c r="U10" s="746">
        <f>$B10*'gadu šķirošana'!V$75</f>
        <v>26877.534199999998</v>
      </c>
      <c r="V10" s="746">
        <f>$B10*'gadu šķirošana'!W$75</f>
        <v>27429.812300000001</v>
      </c>
      <c r="W10" s="746">
        <f>$B10*'gadu šķirošana'!X$75</f>
        <v>27982.090400000001</v>
      </c>
      <c r="X10" s="746">
        <f>$B10*'gadu šķirošana'!Y$75</f>
        <v>28534.3685</v>
      </c>
      <c r="Y10" s="746">
        <f>$B10*'gadu šķirošana'!Z$75</f>
        <v>29086.646600000004</v>
      </c>
      <c r="Z10" s="746">
        <f>$B10*'gadu šķirošana'!AA$75</f>
        <v>29638.924700000003</v>
      </c>
      <c r="AA10" s="746">
        <f>$B10*'gadu šķirošana'!AB$75</f>
        <v>30191.202799999999</v>
      </c>
      <c r="AB10" s="746">
        <f>$B10*'gadu šķirošana'!AC$75</f>
        <v>30743.480899999999</v>
      </c>
      <c r="AC10" s="746">
        <f>$B10*'gadu šķirošana'!AD$75</f>
        <v>31295.758999999998</v>
      </c>
      <c r="AD10" s="746">
        <f>$B10*'gadu šķirošana'!AE$75</f>
        <v>31848.037100000001</v>
      </c>
      <c r="AE10" s="746">
        <f>$B10*'gadu šķirošana'!AF$75</f>
        <v>32400.315200000001</v>
      </c>
      <c r="AF10" s="746">
        <f>$B10*'gadu šķirošana'!AG$75</f>
        <v>33136.686000000002</v>
      </c>
      <c r="AG10" s="746">
        <f>$B10*'gadu šķirošana'!AH$75</f>
        <v>33873.056800000006</v>
      </c>
      <c r="AH10" s="746">
        <f>$B10*'gadu šķirošana'!AI$75</f>
        <v>34609.427599999995</v>
      </c>
      <c r="AI10" s="746">
        <f>$B10*'gadu šķirošana'!AJ$75</f>
        <v>35345.7984</v>
      </c>
    </row>
    <row r="11" spans="1:35" s="260" customFormat="1" ht="12.75" x14ac:dyDescent="0.2">
      <c r="A11" s="263" t="s">
        <v>70</v>
      </c>
      <c r="B11" s="745">
        <f>'gadu šķirošana'!C37</f>
        <v>40894.9</v>
      </c>
      <c r="C11" s="745">
        <f>$B11*'gadu šķirošana'!D$75</f>
        <v>42121.747000000003</v>
      </c>
      <c r="D11" s="746">
        <f>$B11*'gadu šķirošana'!E$75</f>
        <v>42939.645000000004</v>
      </c>
      <c r="E11" s="746">
        <f>$B11*'gadu šķirošana'!F$75</f>
        <v>43757.543000000005</v>
      </c>
      <c r="F11" s="746">
        <f>$B11*'gadu šķirošana'!G$75</f>
        <v>44575.441000000006</v>
      </c>
      <c r="G11" s="746">
        <f>$B11*'gadu šķirošana'!H$75</f>
        <v>45393.339000000007</v>
      </c>
      <c r="H11" s="746">
        <f>$B11*'gadu šķirošana'!I$75</f>
        <v>46211.236999999994</v>
      </c>
      <c r="I11" s="746">
        <f>$B11*'gadu šķirošana'!J$75</f>
        <v>47029.134999999995</v>
      </c>
      <c r="J11" s="746">
        <f>$B11*'gadu šķirošana'!K$75</f>
        <v>47847.032999999996</v>
      </c>
      <c r="K11" s="746">
        <f>$B11*'gadu šķirošana'!L$75</f>
        <v>48664.930999999997</v>
      </c>
      <c r="L11" s="746">
        <f>$B11*'gadu šķirošana'!M$75</f>
        <v>49482.828999999998</v>
      </c>
      <c r="M11" s="746">
        <f>$B11*'gadu šķirošana'!N$75</f>
        <v>50300.726999999999</v>
      </c>
      <c r="N11" s="746">
        <f>$B11*'gadu šķirošana'!O$75</f>
        <v>51118.625</v>
      </c>
      <c r="O11" s="746">
        <f>$B11*'gadu šķirošana'!P$75</f>
        <v>52345.472000000002</v>
      </c>
      <c r="P11" s="746">
        <f>$B11*'gadu šķirošana'!Q$75</f>
        <v>53572.319000000003</v>
      </c>
      <c r="Q11" s="746">
        <f>$B11*'gadu šķirošana'!R$75</f>
        <v>54799.166000000005</v>
      </c>
      <c r="R11" s="746">
        <f>$B11*'gadu šķirošana'!S$75</f>
        <v>56026.013000000006</v>
      </c>
      <c r="S11" s="746">
        <f>$B11*'gadu šķirošana'!T$75</f>
        <v>57252.86</v>
      </c>
      <c r="T11" s="746">
        <f>$B11*'gadu šķirošana'!U$75</f>
        <v>58479.707000000002</v>
      </c>
      <c r="U11" s="746">
        <f>$B11*'gadu šķirošana'!V$75</f>
        <v>59706.554000000004</v>
      </c>
      <c r="V11" s="746">
        <f>$B11*'gadu šķirošana'!W$75</f>
        <v>60933.401000000005</v>
      </c>
      <c r="W11" s="746">
        <f>$B11*'gadu šķirošana'!X$75</f>
        <v>62160.248</v>
      </c>
      <c r="X11" s="746">
        <f>$B11*'gadu šķirošana'!Y$75</f>
        <v>63387.095000000001</v>
      </c>
      <c r="Y11" s="746">
        <f>$B11*'gadu šķirošana'!Z$75</f>
        <v>64613.942000000003</v>
      </c>
      <c r="Z11" s="746">
        <f>$B11*'gadu šķirošana'!AA$75</f>
        <v>65840.789000000004</v>
      </c>
      <c r="AA11" s="746">
        <f>$B11*'gadu šķirošana'!AB$75</f>
        <v>67067.635999999999</v>
      </c>
      <c r="AB11" s="746">
        <f>$B11*'gadu šķirošana'!AC$75</f>
        <v>68294.482999999993</v>
      </c>
      <c r="AC11" s="746">
        <f>$B11*'gadu šķirošana'!AD$75</f>
        <v>69521.33</v>
      </c>
      <c r="AD11" s="746">
        <f>$B11*'gadu šķirošana'!AE$75</f>
        <v>70748.176999999996</v>
      </c>
      <c r="AE11" s="746">
        <f>$B11*'gadu šķirošana'!AF$75</f>
        <v>71975.024000000005</v>
      </c>
      <c r="AF11" s="746">
        <f>$B11*'gadu šķirošana'!AG$75</f>
        <v>73610.820000000007</v>
      </c>
      <c r="AG11" s="746">
        <f>$B11*'gadu šķirošana'!AH$75</f>
        <v>75246.616000000009</v>
      </c>
      <c r="AH11" s="746">
        <f>$B11*'gadu šķirošana'!AI$75</f>
        <v>76882.411999999997</v>
      </c>
      <c r="AI11" s="746">
        <f>$B11*'gadu šķirošana'!AJ$75</f>
        <v>78518.207999999999</v>
      </c>
    </row>
    <row r="12" spans="1:35" s="260" customFormat="1" ht="12.75" x14ac:dyDescent="0.2">
      <c r="A12" s="263" t="s">
        <v>621</v>
      </c>
      <c r="B12" s="745">
        <f>'gadu šķirošana'!C38</f>
        <v>7085.15</v>
      </c>
      <c r="C12" s="745">
        <f>$B12*'gadu šķirošana'!D$75</f>
        <v>7297.7044999999998</v>
      </c>
      <c r="D12" s="746">
        <f>$B12*'gadu šķirošana'!E$75</f>
        <v>7439.4075000000003</v>
      </c>
      <c r="E12" s="746">
        <f>$B12*'gadu šķirošana'!F$75</f>
        <v>7581.1104999999998</v>
      </c>
      <c r="F12" s="746">
        <f>$B12*'gadu šķirošana'!G$75</f>
        <v>7722.8135000000002</v>
      </c>
      <c r="G12" s="746">
        <f>$B12*'gadu šķirošana'!H$75</f>
        <v>7864.5165000000006</v>
      </c>
      <c r="H12" s="746">
        <f>$B12*'gadu šķirošana'!I$75</f>
        <v>8006.2194999999992</v>
      </c>
      <c r="I12" s="746">
        <f>$B12*'gadu šķirošana'!J$75</f>
        <v>8147.9224999999988</v>
      </c>
      <c r="J12" s="746">
        <f>$B12*'gadu šķirošana'!K$75</f>
        <v>8289.6254999999983</v>
      </c>
      <c r="K12" s="746">
        <f>$B12*'gadu šķirošana'!L$75</f>
        <v>8431.3284999999996</v>
      </c>
      <c r="L12" s="746">
        <f>$B12*'gadu šķirošana'!M$75</f>
        <v>8573.0314999999991</v>
      </c>
      <c r="M12" s="746">
        <f>$B12*'gadu šķirošana'!N$75</f>
        <v>8714.7344999999987</v>
      </c>
      <c r="N12" s="746">
        <f>$B12*'gadu šķirošana'!O$75</f>
        <v>8856.4375</v>
      </c>
      <c r="O12" s="746">
        <f>$B12*'gadu šķirošana'!P$75</f>
        <v>9068.9920000000002</v>
      </c>
      <c r="P12" s="746">
        <f>$B12*'gadu šķirošana'!Q$75</f>
        <v>9281.5465000000004</v>
      </c>
      <c r="Q12" s="746">
        <f>$B12*'gadu šķirošana'!R$75</f>
        <v>9494.1010000000006</v>
      </c>
      <c r="R12" s="746">
        <f>$B12*'gadu šķirošana'!S$75</f>
        <v>9706.6555000000008</v>
      </c>
      <c r="S12" s="746">
        <f>$B12*'gadu šķirošana'!T$75</f>
        <v>9919.2099999999991</v>
      </c>
      <c r="T12" s="746">
        <f>$B12*'gadu šķirošana'!U$75</f>
        <v>10131.764499999999</v>
      </c>
      <c r="U12" s="746">
        <f>$B12*'gadu šķirošana'!V$75</f>
        <v>10344.319</v>
      </c>
      <c r="V12" s="746">
        <f>$B12*'gadu šķirošana'!W$75</f>
        <v>10556.8735</v>
      </c>
      <c r="W12" s="746">
        <f>$B12*'gadu šķirošana'!X$75</f>
        <v>10769.428</v>
      </c>
      <c r="X12" s="746">
        <f>$B12*'gadu šķirošana'!Y$75</f>
        <v>10981.9825</v>
      </c>
      <c r="Y12" s="746">
        <f>$B12*'gadu šķirošana'!Z$75</f>
        <v>11194.537</v>
      </c>
      <c r="Z12" s="746">
        <f>$B12*'gadu šķirošana'!AA$75</f>
        <v>11407.0915</v>
      </c>
      <c r="AA12" s="746">
        <f>$B12*'gadu šķirošana'!AB$75</f>
        <v>11619.645999999999</v>
      </c>
      <c r="AB12" s="746">
        <f>$B12*'gadu šķirošana'!AC$75</f>
        <v>11832.200499999999</v>
      </c>
      <c r="AC12" s="746">
        <f>$B12*'gadu šķirošana'!AD$75</f>
        <v>12044.754999999999</v>
      </c>
      <c r="AD12" s="746">
        <f>$B12*'gadu šķirošana'!AE$75</f>
        <v>12257.309499999999</v>
      </c>
      <c r="AE12" s="746">
        <f>$B12*'gadu šķirošana'!AF$75</f>
        <v>12469.864</v>
      </c>
      <c r="AF12" s="746">
        <f>$B12*'gadu šķirošana'!AG$75</f>
        <v>12753.27</v>
      </c>
      <c r="AG12" s="746">
        <f>$B12*'gadu šķirošana'!AH$75</f>
        <v>13036.675999999999</v>
      </c>
      <c r="AH12" s="746">
        <f>$B12*'gadu šķirošana'!AI$75</f>
        <v>13320.081999999999</v>
      </c>
      <c r="AI12" s="746">
        <f>$B12*'gadu šķirošana'!AJ$75</f>
        <v>13603.487999999999</v>
      </c>
    </row>
    <row r="13" spans="1:35" s="203" customFormat="1" ht="12.75" x14ac:dyDescent="0.2">
      <c r="A13" s="264" t="s">
        <v>71</v>
      </c>
      <c r="B13" s="747">
        <f>SUM(B14:B18)</f>
        <v>171072.78999999998</v>
      </c>
      <c r="C13" s="747">
        <f t="shared" ref="C13:AI13" si="2">SUM(C14:C18)</f>
        <v>176204.97370000003</v>
      </c>
      <c r="D13" s="747">
        <f t="shared" si="2"/>
        <v>179626.4295</v>
      </c>
      <c r="E13" s="747">
        <f t="shared" si="2"/>
        <v>183047.88529999999</v>
      </c>
      <c r="F13" s="747">
        <f t="shared" si="2"/>
        <v>186469.34110000002</v>
      </c>
      <c r="G13" s="747">
        <f t="shared" si="2"/>
        <v>189890.79690000002</v>
      </c>
      <c r="H13" s="747">
        <f t="shared" si="2"/>
        <v>193312.25270000001</v>
      </c>
      <c r="I13" s="747">
        <f t="shared" si="2"/>
        <v>196733.70850000001</v>
      </c>
      <c r="J13" s="747">
        <f t="shared" si="2"/>
        <v>200155.16429999995</v>
      </c>
      <c r="K13" s="747">
        <f t="shared" si="2"/>
        <v>203576.62010000003</v>
      </c>
      <c r="L13" s="747">
        <f t="shared" si="2"/>
        <v>206998.07589999997</v>
      </c>
      <c r="M13" s="747">
        <f t="shared" si="2"/>
        <v>210419.53169999999</v>
      </c>
      <c r="N13" s="747">
        <f t="shared" si="2"/>
        <v>213840.98750000002</v>
      </c>
      <c r="O13" s="747">
        <f t="shared" si="2"/>
        <v>218973.17120000001</v>
      </c>
      <c r="P13" s="747">
        <f t="shared" si="2"/>
        <v>224105.35490000001</v>
      </c>
      <c r="Q13" s="747">
        <f t="shared" si="2"/>
        <v>229237.53860000003</v>
      </c>
      <c r="R13" s="747">
        <f t="shared" si="2"/>
        <v>234369.72230000002</v>
      </c>
      <c r="S13" s="747">
        <f t="shared" si="2"/>
        <v>239501.90599999999</v>
      </c>
      <c r="T13" s="747">
        <f t="shared" si="2"/>
        <v>244634.08969999998</v>
      </c>
      <c r="U13" s="747">
        <f t="shared" si="2"/>
        <v>249766.27340000001</v>
      </c>
      <c r="V13" s="747">
        <f t="shared" si="2"/>
        <v>254898.45710000003</v>
      </c>
      <c r="W13" s="747">
        <f t="shared" si="2"/>
        <v>260030.64079999999</v>
      </c>
      <c r="X13" s="747">
        <f t="shared" si="2"/>
        <v>265162.82449999999</v>
      </c>
      <c r="Y13" s="747">
        <f t="shared" si="2"/>
        <v>270295.00820000004</v>
      </c>
      <c r="Z13" s="747">
        <f t="shared" si="2"/>
        <v>275427.19190000003</v>
      </c>
      <c r="AA13" s="747">
        <f t="shared" si="2"/>
        <v>280559.37560000003</v>
      </c>
      <c r="AB13" s="747">
        <f t="shared" si="2"/>
        <v>285691.55929999996</v>
      </c>
      <c r="AC13" s="747">
        <f t="shared" si="2"/>
        <v>290823.74299999996</v>
      </c>
      <c r="AD13" s="747">
        <f t="shared" si="2"/>
        <v>295955.92670000001</v>
      </c>
      <c r="AE13" s="747">
        <f t="shared" si="2"/>
        <v>301088.11040000001</v>
      </c>
      <c r="AF13" s="747">
        <f t="shared" si="2"/>
        <v>307931.02200000006</v>
      </c>
      <c r="AG13" s="747">
        <f t="shared" si="2"/>
        <v>314773.93360000005</v>
      </c>
      <c r="AH13" s="747">
        <f t="shared" si="2"/>
        <v>321616.84519999998</v>
      </c>
      <c r="AI13" s="747">
        <f t="shared" si="2"/>
        <v>328459.75679999997</v>
      </c>
    </row>
    <row r="14" spans="1:35" s="260" customFormat="1" ht="12.75" x14ac:dyDescent="0.2">
      <c r="A14" s="262" t="s">
        <v>72</v>
      </c>
      <c r="B14" s="745">
        <f>'gadu šķirošana'!C49</f>
        <v>27445.74</v>
      </c>
      <c r="C14" s="745">
        <f>$B14*'gadu šķirošana'!D$75</f>
        <v>28269.112200000003</v>
      </c>
      <c r="D14" s="746">
        <f>$B14*'gadu šķirošana'!E$75</f>
        <v>28818.027000000002</v>
      </c>
      <c r="E14" s="746">
        <f>$B14*'gadu šķirošana'!F$75</f>
        <v>29366.941800000004</v>
      </c>
      <c r="F14" s="746">
        <f>$B14*'gadu šķirošana'!G$75</f>
        <v>29915.856600000003</v>
      </c>
      <c r="G14" s="746">
        <f>$B14*'gadu šķirošana'!H$75</f>
        <v>30464.771400000005</v>
      </c>
      <c r="H14" s="746">
        <f>$B14*'gadu šķirošana'!I$75</f>
        <v>31013.6862</v>
      </c>
      <c r="I14" s="746">
        <f>$B14*'gadu šķirošana'!J$75</f>
        <v>31562.600999999999</v>
      </c>
      <c r="J14" s="746">
        <f>$B14*'gadu šķirošana'!K$75</f>
        <v>32111.515800000001</v>
      </c>
      <c r="K14" s="746">
        <f>$B14*'gadu šķirošana'!L$75</f>
        <v>32660.4306</v>
      </c>
      <c r="L14" s="746">
        <f>$B14*'gadu šķirošana'!M$75</f>
        <v>33209.345399999998</v>
      </c>
      <c r="M14" s="746">
        <f>$B14*'gadu šķirošana'!N$75</f>
        <v>33758.260200000004</v>
      </c>
      <c r="N14" s="746">
        <f>$B14*'gadu šķirošana'!O$75</f>
        <v>34307.175000000003</v>
      </c>
      <c r="O14" s="746">
        <f>$B14*'gadu šķirošana'!P$75</f>
        <v>35130.547200000001</v>
      </c>
      <c r="P14" s="746">
        <f>$B14*'gadu šķirošana'!Q$75</f>
        <v>35953.919400000006</v>
      </c>
      <c r="Q14" s="746">
        <f>$B14*'gadu šķirošana'!R$75</f>
        <v>36777.291600000004</v>
      </c>
      <c r="R14" s="746">
        <f>$B14*'gadu šķirošana'!S$75</f>
        <v>37600.663800000002</v>
      </c>
      <c r="S14" s="746">
        <f>$B14*'gadu šķirošana'!T$75</f>
        <v>38424.036</v>
      </c>
      <c r="T14" s="746">
        <f>$B14*'gadu šķirošana'!U$75</f>
        <v>39247.408199999998</v>
      </c>
      <c r="U14" s="746">
        <f>$B14*'gadu šķirošana'!V$75</f>
        <v>40070.780400000003</v>
      </c>
      <c r="V14" s="746">
        <f>$B14*'gadu šķirošana'!W$75</f>
        <v>40894.152600000001</v>
      </c>
      <c r="W14" s="746">
        <f>$B14*'gadu šķirošana'!X$75</f>
        <v>41717.524800000007</v>
      </c>
      <c r="X14" s="746">
        <f>$B14*'gadu šķirošana'!Y$75</f>
        <v>42540.897000000004</v>
      </c>
      <c r="Y14" s="746">
        <f>$B14*'gadu šķirošana'!Z$75</f>
        <v>43364.269200000002</v>
      </c>
      <c r="Z14" s="746">
        <f>$B14*'gadu šķirošana'!AA$75</f>
        <v>44187.641400000008</v>
      </c>
      <c r="AA14" s="746">
        <f>$B14*'gadu šķirošana'!AB$75</f>
        <v>45011.013599999998</v>
      </c>
      <c r="AB14" s="746">
        <f>$B14*'gadu šķirošana'!AC$75</f>
        <v>45834.385800000004</v>
      </c>
      <c r="AC14" s="746">
        <f>$B14*'gadu šķirošana'!AD$75</f>
        <v>46657.758000000002</v>
      </c>
      <c r="AD14" s="746">
        <f>$B14*'gadu šķirošana'!AE$75</f>
        <v>47481.1302</v>
      </c>
      <c r="AE14" s="746">
        <f>$B14*'gadu šķirošana'!AF$75</f>
        <v>48304.502400000005</v>
      </c>
      <c r="AF14" s="746">
        <f>$B14*'gadu šķirošana'!AG$75</f>
        <v>49402.332000000002</v>
      </c>
      <c r="AG14" s="746">
        <f>$B14*'gadu šķirošana'!AH$75</f>
        <v>50500.161600000007</v>
      </c>
      <c r="AH14" s="746">
        <f>$B14*'gadu šķirošana'!AI$75</f>
        <v>51597.991199999997</v>
      </c>
      <c r="AI14" s="746">
        <f>$B14*'gadu šķirošana'!AJ$75</f>
        <v>52695.820800000001</v>
      </c>
    </row>
    <row r="15" spans="1:35" s="260" customFormat="1" ht="12.75" x14ac:dyDescent="0.2">
      <c r="A15" s="263" t="s">
        <v>73</v>
      </c>
      <c r="B15" s="745">
        <f>'gadu šķirošana'!C50</f>
        <v>62115</v>
      </c>
      <c r="C15" s="745">
        <f>$B15*'gadu šķirošana'!D$75</f>
        <v>63978.450000000004</v>
      </c>
      <c r="D15" s="746">
        <f>$B15*'gadu šķirošana'!E$75</f>
        <v>65220.75</v>
      </c>
      <c r="E15" s="746">
        <f>$B15*'gadu šķirošana'!F$75</f>
        <v>66463.05</v>
      </c>
      <c r="F15" s="746">
        <f>$B15*'gadu šķirošana'!G$75</f>
        <v>67705.350000000006</v>
      </c>
      <c r="G15" s="746">
        <f>$B15*'gadu šķirošana'!H$75</f>
        <v>68947.650000000009</v>
      </c>
      <c r="H15" s="746">
        <f>$B15*'gadu šķirošana'!I$75</f>
        <v>70189.95</v>
      </c>
      <c r="I15" s="746">
        <f>$B15*'gadu šķirošana'!J$75</f>
        <v>71432.25</v>
      </c>
      <c r="J15" s="746">
        <f>$B15*'gadu šķirošana'!K$75</f>
        <v>72674.549999999988</v>
      </c>
      <c r="K15" s="746">
        <f>$B15*'gadu šķirošana'!L$75</f>
        <v>73916.849999999991</v>
      </c>
      <c r="L15" s="746">
        <f>$B15*'gadu šķirošana'!M$75</f>
        <v>75159.149999999994</v>
      </c>
      <c r="M15" s="746">
        <f>$B15*'gadu šķirošana'!N$75</f>
        <v>76401.45</v>
      </c>
      <c r="N15" s="746">
        <f>$B15*'gadu šķirošana'!O$75</f>
        <v>77643.75</v>
      </c>
      <c r="O15" s="746">
        <f>$B15*'gadu šķirošana'!P$75</f>
        <v>79507.199999999997</v>
      </c>
      <c r="P15" s="746">
        <f>$B15*'gadu šķirošana'!Q$75</f>
        <v>81370.650000000009</v>
      </c>
      <c r="Q15" s="746">
        <f>$B15*'gadu šķirošana'!R$75</f>
        <v>83234.100000000006</v>
      </c>
      <c r="R15" s="746">
        <f>$B15*'gadu šķirošana'!S$75</f>
        <v>85097.55</v>
      </c>
      <c r="S15" s="746">
        <f>$B15*'gadu šķirošana'!T$75</f>
        <v>86961</v>
      </c>
      <c r="T15" s="746">
        <f>$B15*'gadu šķirošana'!U$75</f>
        <v>88824.45</v>
      </c>
      <c r="U15" s="746">
        <f>$B15*'gadu šķirošana'!V$75</f>
        <v>90687.9</v>
      </c>
      <c r="V15" s="746">
        <f>$B15*'gadu šķirošana'!W$75</f>
        <v>92551.35</v>
      </c>
      <c r="W15" s="746">
        <f>$B15*'gadu šķirošana'!X$75</f>
        <v>94414.8</v>
      </c>
      <c r="X15" s="746">
        <f>$B15*'gadu šķirošana'!Y$75</f>
        <v>96278.25</v>
      </c>
      <c r="Y15" s="746">
        <f>$B15*'gadu šķirošana'!Z$75</f>
        <v>98141.700000000012</v>
      </c>
      <c r="Z15" s="746">
        <f>$B15*'gadu šķirošana'!AA$75</f>
        <v>100005.15000000001</v>
      </c>
      <c r="AA15" s="746">
        <f>$B15*'gadu šķirošana'!AB$75</f>
        <v>101868.59999999999</v>
      </c>
      <c r="AB15" s="746">
        <f>$B15*'gadu šķirošana'!AC$75</f>
        <v>103732.04999999999</v>
      </c>
      <c r="AC15" s="746">
        <f>$B15*'gadu šķirošana'!AD$75</f>
        <v>105595.5</v>
      </c>
      <c r="AD15" s="746">
        <f>$B15*'gadu šķirošana'!AE$75</f>
        <v>107458.95</v>
      </c>
      <c r="AE15" s="746">
        <f>$B15*'gadu šķirošana'!AF$75</f>
        <v>109322.4</v>
      </c>
      <c r="AF15" s="746">
        <f>$B15*'gadu šķirošana'!AG$75</f>
        <v>111807</v>
      </c>
      <c r="AG15" s="746">
        <f>$B15*'gadu šķirošana'!AH$75</f>
        <v>114291.6</v>
      </c>
      <c r="AH15" s="746">
        <f>$B15*'gadu šķirošana'!AI$75</f>
        <v>116776.2</v>
      </c>
      <c r="AI15" s="746">
        <f>$B15*'gadu šķirošana'!AJ$75</f>
        <v>119260.79999999999</v>
      </c>
    </row>
    <row r="16" spans="1:35" s="260" customFormat="1" ht="12.75" x14ac:dyDescent="0.2">
      <c r="A16" s="263" t="s">
        <v>74</v>
      </c>
      <c r="B16" s="745">
        <f>'gadu šķirošana'!C51</f>
        <v>1508.94</v>
      </c>
      <c r="C16" s="745">
        <f>$B16*'gadu šķirošana'!D$75</f>
        <v>1554.2082</v>
      </c>
      <c r="D16" s="746">
        <f>$B16*'gadu šķirošana'!E$75</f>
        <v>1584.3870000000002</v>
      </c>
      <c r="E16" s="746">
        <f>$B16*'gadu šķirošana'!F$75</f>
        <v>1614.5658000000001</v>
      </c>
      <c r="F16" s="746">
        <f>$B16*'gadu šķirošana'!G$75</f>
        <v>1644.7446000000002</v>
      </c>
      <c r="G16" s="746">
        <f>$B16*'gadu šķirošana'!H$75</f>
        <v>1674.9234000000001</v>
      </c>
      <c r="H16" s="746">
        <f>$B16*'gadu šķirošana'!I$75</f>
        <v>1705.1021999999998</v>
      </c>
      <c r="I16" s="746">
        <f>$B16*'gadu šķirošana'!J$75</f>
        <v>1735.2809999999999</v>
      </c>
      <c r="J16" s="746">
        <f>$B16*'gadu šķirošana'!K$75</f>
        <v>1765.4597999999999</v>
      </c>
      <c r="K16" s="746">
        <f>$B16*'gadu šķirošana'!L$75</f>
        <v>1795.6386</v>
      </c>
      <c r="L16" s="746">
        <f>$B16*'gadu šķirošana'!M$75</f>
        <v>1825.8173999999999</v>
      </c>
      <c r="M16" s="746">
        <f>$B16*'gadu šķirošana'!N$75</f>
        <v>1855.9962</v>
      </c>
      <c r="N16" s="746">
        <f>$B16*'gadu šķirošana'!O$75</f>
        <v>1886.1750000000002</v>
      </c>
      <c r="O16" s="746">
        <f>$B16*'gadu šķirošana'!P$75</f>
        <v>1931.4432000000002</v>
      </c>
      <c r="P16" s="746">
        <f>$B16*'gadu šķirošana'!Q$75</f>
        <v>1976.7114000000001</v>
      </c>
      <c r="Q16" s="746">
        <f>$B16*'gadu šķirošana'!R$75</f>
        <v>2021.9796000000001</v>
      </c>
      <c r="R16" s="746">
        <f>$B16*'gadu šķirošana'!S$75</f>
        <v>2067.2478000000001</v>
      </c>
      <c r="S16" s="746">
        <f>$B16*'gadu šķirošana'!T$75</f>
        <v>2112.5160000000001</v>
      </c>
      <c r="T16" s="746">
        <f>$B16*'gadu šķirošana'!U$75</f>
        <v>2157.7842000000001</v>
      </c>
      <c r="U16" s="746">
        <f>$B16*'gadu šķirošana'!V$75</f>
        <v>2203.0524</v>
      </c>
      <c r="V16" s="746">
        <f>$B16*'gadu šķirošana'!W$75</f>
        <v>2248.3206</v>
      </c>
      <c r="W16" s="746">
        <f>$B16*'gadu šķirošana'!X$75</f>
        <v>2293.5888</v>
      </c>
      <c r="X16" s="746">
        <f>$B16*'gadu šķirošana'!Y$75</f>
        <v>2338.857</v>
      </c>
      <c r="Y16" s="746">
        <f>$B16*'gadu šķirošana'!Z$75</f>
        <v>2384.1252000000004</v>
      </c>
      <c r="Z16" s="746">
        <f>$B16*'gadu šķirošana'!AA$75</f>
        <v>2429.3934000000004</v>
      </c>
      <c r="AA16" s="746">
        <f>$B16*'gadu šķirošana'!AB$75</f>
        <v>2474.6615999999999</v>
      </c>
      <c r="AB16" s="746">
        <f>$B16*'gadu šķirošana'!AC$75</f>
        <v>2519.9297999999999</v>
      </c>
      <c r="AC16" s="746">
        <f>$B16*'gadu šķirošana'!AD$75</f>
        <v>2565.1979999999999</v>
      </c>
      <c r="AD16" s="746">
        <f>$B16*'gadu šķirošana'!AE$75</f>
        <v>2610.4661999999998</v>
      </c>
      <c r="AE16" s="746">
        <f>$B16*'gadu šķirošana'!AF$75</f>
        <v>2655.7344000000003</v>
      </c>
      <c r="AF16" s="746">
        <f>$B16*'gadu šķirošana'!AG$75</f>
        <v>2716.0920000000001</v>
      </c>
      <c r="AG16" s="746">
        <f>$B16*'gadu šķirošana'!AH$75</f>
        <v>2776.4496000000004</v>
      </c>
      <c r="AH16" s="746">
        <f>$B16*'gadu šķirošana'!AI$75</f>
        <v>2836.8071999999997</v>
      </c>
      <c r="AI16" s="746">
        <f>$B16*'gadu šķirošana'!AJ$75</f>
        <v>2897.1648</v>
      </c>
    </row>
    <row r="17" spans="1:35" s="260" customFormat="1" ht="12.75" x14ac:dyDescent="0.2">
      <c r="A17" s="263" t="s">
        <v>75</v>
      </c>
      <c r="B17" s="745">
        <f>'gadu šķirošana'!C52</f>
        <v>77618.5</v>
      </c>
      <c r="C17" s="745">
        <f>$B17*'gadu šķirošana'!D$75</f>
        <v>79947.055000000008</v>
      </c>
      <c r="D17" s="746">
        <f>$B17*'gadu šķirošana'!E$75</f>
        <v>81499.425000000003</v>
      </c>
      <c r="E17" s="746">
        <f>$B17*'gadu šķirošana'!F$75</f>
        <v>83051.794999999998</v>
      </c>
      <c r="F17" s="746">
        <f>$B17*'gadu šķirošana'!G$75</f>
        <v>84604.165000000008</v>
      </c>
      <c r="G17" s="746">
        <f>$B17*'gadu šķirošana'!H$75</f>
        <v>86156.535000000003</v>
      </c>
      <c r="H17" s="746">
        <f>$B17*'gadu šķirošana'!I$75</f>
        <v>87708.904999999999</v>
      </c>
      <c r="I17" s="746">
        <f>$B17*'gadu šķirošana'!J$75</f>
        <v>89261.274999999994</v>
      </c>
      <c r="J17" s="746">
        <f>$B17*'gadu šķirošana'!K$75</f>
        <v>90813.64499999999</v>
      </c>
      <c r="K17" s="746">
        <f>$B17*'gadu šķirošana'!L$75</f>
        <v>92366.014999999999</v>
      </c>
      <c r="L17" s="746">
        <f>$B17*'gadu šķirošana'!M$75</f>
        <v>93918.384999999995</v>
      </c>
      <c r="M17" s="746">
        <f>$B17*'gadu šķirošana'!N$75</f>
        <v>95470.755000000005</v>
      </c>
      <c r="N17" s="746">
        <f>$B17*'gadu šķirošana'!O$75</f>
        <v>97023.125</v>
      </c>
      <c r="O17" s="746">
        <f>$B17*'gadu šķirošana'!P$75</f>
        <v>99351.680000000008</v>
      </c>
      <c r="P17" s="746">
        <f>$B17*'gadu šķirošana'!Q$75</f>
        <v>101680.235</v>
      </c>
      <c r="Q17" s="746">
        <f>$B17*'gadu šķirošana'!R$75</f>
        <v>104008.79000000001</v>
      </c>
      <c r="R17" s="746">
        <f>$B17*'gadu šķirošana'!S$75</f>
        <v>106337.345</v>
      </c>
      <c r="S17" s="746">
        <f>$B17*'gadu šķirošana'!T$75</f>
        <v>108665.9</v>
      </c>
      <c r="T17" s="746">
        <f>$B17*'gadu šķirošana'!U$75</f>
        <v>110994.455</v>
      </c>
      <c r="U17" s="746">
        <f>$B17*'gadu šķirošana'!V$75</f>
        <v>113323.01</v>
      </c>
      <c r="V17" s="746">
        <f>$B17*'gadu šķirošana'!W$75</f>
        <v>115651.565</v>
      </c>
      <c r="W17" s="746">
        <f>$B17*'gadu šķirošana'!X$75</f>
        <v>117980.12</v>
      </c>
      <c r="X17" s="746">
        <f>$B17*'gadu šķirošana'!Y$75</f>
        <v>120308.675</v>
      </c>
      <c r="Y17" s="746">
        <f>$B17*'gadu šķirošana'!Z$75</f>
        <v>122637.23000000001</v>
      </c>
      <c r="Z17" s="746">
        <f>$B17*'gadu šķirošana'!AA$75</f>
        <v>124965.785</v>
      </c>
      <c r="AA17" s="746">
        <f>$B17*'gadu šķirošana'!AB$75</f>
        <v>127294.34</v>
      </c>
      <c r="AB17" s="746">
        <f>$B17*'gadu šķirošana'!AC$75</f>
        <v>129622.89499999999</v>
      </c>
      <c r="AC17" s="746">
        <f>$B17*'gadu šķirošana'!AD$75</f>
        <v>131951.44999999998</v>
      </c>
      <c r="AD17" s="746">
        <f>$B17*'gadu šķirošana'!AE$75</f>
        <v>134280.005</v>
      </c>
      <c r="AE17" s="746">
        <f>$B17*'gadu šķirošana'!AF$75</f>
        <v>136608.56</v>
      </c>
      <c r="AF17" s="746">
        <f>$B17*'gadu šķirošana'!AG$75</f>
        <v>139713.30000000002</v>
      </c>
      <c r="AG17" s="746">
        <f>$B17*'gadu šķirošana'!AH$75</f>
        <v>142818.04</v>
      </c>
      <c r="AH17" s="746">
        <f>$B17*'gadu šķirošana'!AI$75</f>
        <v>145922.78</v>
      </c>
      <c r="AI17" s="746">
        <f>$B17*'gadu šķirošana'!AJ$75</f>
        <v>149027.51999999999</v>
      </c>
    </row>
    <row r="18" spans="1:35" s="260" customFormat="1" ht="12.75" x14ac:dyDescent="0.2">
      <c r="A18" s="263" t="s">
        <v>622</v>
      </c>
      <c r="B18" s="745">
        <f>'gadu šķirošana'!C53</f>
        <v>2384.61</v>
      </c>
      <c r="C18" s="745">
        <f>$B18*'gadu šķirošana'!D$75</f>
        <v>2456.1483000000003</v>
      </c>
      <c r="D18" s="746">
        <f>$B18*'gadu šķirošana'!E$75</f>
        <v>2503.8405000000002</v>
      </c>
      <c r="E18" s="746">
        <f>$B18*'gadu šķirošana'!F$75</f>
        <v>2551.5327000000002</v>
      </c>
      <c r="F18" s="746">
        <f>$B18*'gadu šķirošana'!G$75</f>
        <v>2599.2249000000002</v>
      </c>
      <c r="G18" s="746">
        <f>$B18*'gadu šķirošana'!H$75</f>
        <v>2646.9171000000006</v>
      </c>
      <c r="H18" s="746">
        <f>$B18*'gadu šķirošana'!I$75</f>
        <v>2694.6093000000001</v>
      </c>
      <c r="I18" s="746">
        <f>$B18*'gadu šķirošana'!J$75</f>
        <v>2742.3015</v>
      </c>
      <c r="J18" s="746">
        <f>$B18*'gadu šķirošana'!K$75</f>
        <v>2789.9937</v>
      </c>
      <c r="K18" s="746">
        <f>$B18*'gadu šķirošana'!L$75</f>
        <v>2837.6858999999999</v>
      </c>
      <c r="L18" s="746">
        <f>$B18*'gadu šķirošana'!M$75</f>
        <v>2885.3780999999999</v>
      </c>
      <c r="M18" s="746">
        <f>$B18*'gadu šķirošana'!N$75</f>
        <v>2933.0703000000003</v>
      </c>
      <c r="N18" s="746">
        <f>$B18*'gadu šķirošana'!O$75</f>
        <v>2980.7625000000003</v>
      </c>
      <c r="O18" s="746">
        <f>$B18*'gadu šķirošana'!P$75</f>
        <v>3052.3008000000004</v>
      </c>
      <c r="P18" s="746">
        <f>$B18*'gadu šķirošana'!Q$75</f>
        <v>3123.8391000000001</v>
      </c>
      <c r="Q18" s="746">
        <f>$B18*'gadu šķirošana'!R$75</f>
        <v>3195.3774000000003</v>
      </c>
      <c r="R18" s="746">
        <f>$B18*'gadu šķirošana'!S$75</f>
        <v>3266.9157000000005</v>
      </c>
      <c r="S18" s="746">
        <f>$B18*'gadu šķirošana'!T$75</f>
        <v>3338.4540000000002</v>
      </c>
      <c r="T18" s="746">
        <f>$B18*'gadu šķirošana'!U$75</f>
        <v>3409.9922999999999</v>
      </c>
      <c r="U18" s="746">
        <f>$B18*'gadu šķirošana'!V$75</f>
        <v>3481.5306</v>
      </c>
      <c r="V18" s="746">
        <f>$B18*'gadu šķirošana'!W$75</f>
        <v>3553.0689000000002</v>
      </c>
      <c r="W18" s="746">
        <f>$B18*'gadu šķirošana'!X$75</f>
        <v>3624.6072000000004</v>
      </c>
      <c r="X18" s="746">
        <f>$B18*'gadu šķirošana'!Y$75</f>
        <v>3696.1455000000001</v>
      </c>
      <c r="Y18" s="746">
        <f>$B18*'gadu šķirošana'!Z$75</f>
        <v>3767.6838000000002</v>
      </c>
      <c r="Z18" s="746">
        <f>$B18*'gadu šķirošana'!AA$75</f>
        <v>3839.2221000000004</v>
      </c>
      <c r="AA18" s="746">
        <f>$B18*'gadu šķirošana'!AB$75</f>
        <v>3910.7604000000001</v>
      </c>
      <c r="AB18" s="746">
        <f>$B18*'gadu šķirošana'!AC$75</f>
        <v>3982.2986999999998</v>
      </c>
      <c r="AC18" s="746">
        <f>$B18*'gadu šķirošana'!AD$75</f>
        <v>4053.837</v>
      </c>
      <c r="AD18" s="746">
        <f>$B18*'gadu šķirošana'!AE$75</f>
        <v>4125.3753000000006</v>
      </c>
      <c r="AE18" s="746">
        <f>$B18*'gadu šķirošana'!AF$75</f>
        <v>4196.9135999999999</v>
      </c>
      <c r="AF18" s="746">
        <f>$B18*'gadu šķirošana'!AG$75</f>
        <v>4292.2980000000007</v>
      </c>
      <c r="AG18" s="746">
        <f>$B18*'gadu šķirošana'!AH$75</f>
        <v>4387.6824000000006</v>
      </c>
      <c r="AH18" s="746">
        <f>$B18*'gadu šķirošana'!AI$75</f>
        <v>4483.0667999999996</v>
      </c>
      <c r="AI18" s="746">
        <f>$B18*'gadu šķirošana'!AJ$75</f>
        <v>4578.4512000000004</v>
      </c>
    </row>
    <row r="19" spans="1:35" s="260" customFormat="1" ht="12.75" x14ac:dyDescent="0.2">
      <c r="A19" s="264" t="s">
        <v>76</v>
      </c>
      <c r="B19" s="711">
        <f>SUM(B7,B13)</f>
        <v>329276.11</v>
      </c>
      <c r="C19" s="711">
        <f t="shared" ref="C19:AI19" si="3">SUM(C7,C13)</f>
        <v>339154.3933</v>
      </c>
      <c r="D19" s="711">
        <f t="shared" si="3"/>
        <v>345739.9155</v>
      </c>
      <c r="E19" s="711">
        <f t="shared" si="3"/>
        <v>352325.43770000001</v>
      </c>
      <c r="F19" s="711">
        <f t="shared" si="3"/>
        <v>358910.95990000002</v>
      </c>
      <c r="G19" s="711">
        <f t="shared" si="3"/>
        <v>365496.48210000002</v>
      </c>
      <c r="H19" s="711">
        <f t="shared" si="3"/>
        <v>372082.00429999997</v>
      </c>
      <c r="I19" s="711">
        <f t="shared" si="3"/>
        <v>378667.52649999998</v>
      </c>
      <c r="J19" s="711">
        <f t="shared" si="3"/>
        <v>385253.04869999993</v>
      </c>
      <c r="K19" s="711">
        <f t="shared" si="3"/>
        <v>391838.57090000005</v>
      </c>
      <c r="L19" s="711">
        <f t="shared" si="3"/>
        <v>398424.09309999994</v>
      </c>
      <c r="M19" s="711">
        <f t="shared" si="3"/>
        <v>405009.61529999995</v>
      </c>
      <c r="N19" s="711">
        <f t="shared" si="3"/>
        <v>411595.13750000001</v>
      </c>
      <c r="O19" s="711">
        <f t="shared" si="3"/>
        <v>421473.42080000002</v>
      </c>
      <c r="P19" s="711">
        <f t="shared" si="3"/>
        <v>431351.70409999997</v>
      </c>
      <c r="Q19" s="711">
        <f t="shared" si="3"/>
        <v>441229.98740000004</v>
      </c>
      <c r="R19" s="711">
        <f t="shared" si="3"/>
        <v>451108.27069999999</v>
      </c>
      <c r="S19" s="711">
        <f t="shared" si="3"/>
        <v>460986.554</v>
      </c>
      <c r="T19" s="711">
        <f t="shared" si="3"/>
        <v>470864.83729999996</v>
      </c>
      <c r="U19" s="711">
        <f t="shared" si="3"/>
        <v>480743.12060000002</v>
      </c>
      <c r="V19" s="711">
        <f t="shared" si="3"/>
        <v>490621.40390000003</v>
      </c>
      <c r="W19" s="711">
        <f t="shared" si="3"/>
        <v>500499.68719999999</v>
      </c>
      <c r="X19" s="711">
        <f t="shared" si="3"/>
        <v>510377.97050000005</v>
      </c>
      <c r="Y19" s="711">
        <f t="shared" si="3"/>
        <v>520256.25380000006</v>
      </c>
      <c r="Z19" s="711">
        <f t="shared" si="3"/>
        <v>530134.53710000007</v>
      </c>
      <c r="AA19" s="711">
        <f t="shared" si="3"/>
        <v>540012.82040000008</v>
      </c>
      <c r="AB19" s="711">
        <f t="shared" si="3"/>
        <v>549891.10369999986</v>
      </c>
      <c r="AC19" s="711">
        <f t="shared" si="3"/>
        <v>559769.38699999987</v>
      </c>
      <c r="AD19" s="711">
        <f t="shared" si="3"/>
        <v>569647.6703</v>
      </c>
      <c r="AE19" s="711">
        <f t="shared" si="3"/>
        <v>579525.95360000012</v>
      </c>
      <c r="AF19" s="711">
        <f t="shared" si="3"/>
        <v>592696.99800000014</v>
      </c>
      <c r="AG19" s="711">
        <f t="shared" si="3"/>
        <v>605868.04240000015</v>
      </c>
      <c r="AH19" s="711">
        <f t="shared" si="3"/>
        <v>619039.08679999993</v>
      </c>
      <c r="AI19" s="711">
        <f t="shared" si="3"/>
        <v>632210.13119999995</v>
      </c>
    </row>
    <row r="20" spans="1:35" s="260" customFormat="1" ht="12.75" x14ac:dyDescent="0.2">
      <c r="A20" s="265" t="s">
        <v>77</v>
      </c>
      <c r="B20" s="747">
        <f>SUM(B21:B23)</f>
        <v>73724.350000000006</v>
      </c>
      <c r="C20" s="747">
        <f t="shared" ref="C20:AI20" si="4">SUM(C21:C23)</f>
        <v>75936.08</v>
      </c>
      <c r="D20" s="747">
        <f t="shared" si="4"/>
        <v>78147.81</v>
      </c>
      <c r="E20" s="747">
        <f t="shared" si="4"/>
        <v>80359.540000000008</v>
      </c>
      <c r="F20" s="747">
        <f t="shared" si="4"/>
        <v>81834.03</v>
      </c>
      <c r="G20" s="747">
        <f t="shared" si="4"/>
        <v>83308.51999999999</v>
      </c>
      <c r="H20" s="747">
        <f t="shared" si="4"/>
        <v>84782.999999999985</v>
      </c>
      <c r="I20" s="747">
        <f t="shared" si="4"/>
        <v>86257.489999999991</v>
      </c>
      <c r="J20" s="747">
        <f t="shared" si="4"/>
        <v>87731.98</v>
      </c>
      <c r="K20" s="747">
        <f t="shared" si="4"/>
        <v>89206.46</v>
      </c>
      <c r="L20" s="747">
        <f t="shared" si="4"/>
        <v>91418.19</v>
      </c>
      <c r="M20" s="747">
        <f t="shared" si="4"/>
        <v>93629.930000000008</v>
      </c>
      <c r="N20" s="747">
        <f t="shared" si="4"/>
        <v>95841.66</v>
      </c>
      <c r="O20" s="747">
        <f t="shared" si="4"/>
        <v>98053.390000000014</v>
      </c>
      <c r="P20" s="747">
        <f t="shared" si="4"/>
        <v>100265.12000000001</v>
      </c>
      <c r="Q20" s="747">
        <f t="shared" si="4"/>
        <v>102476.84999999999</v>
      </c>
      <c r="R20" s="747">
        <f t="shared" si="4"/>
        <v>104688.57999999999</v>
      </c>
      <c r="S20" s="747">
        <f t="shared" si="4"/>
        <v>106900.31</v>
      </c>
      <c r="T20" s="747">
        <f t="shared" si="4"/>
        <v>109112.04</v>
      </c>
      <c r="U20" s="747">
        <f t="shared" si="4"/>
        <v>111323.76999999999</v>
      </c>
      <c r="V20" s="747">
        <f t="shared" si="4"/>
        <v>113535.5</v>
      </c>
      <c r="W20" s="747">
        <f t="shared" si="4"/>
        <v>115747.23</v>
      </c>
      <c r="X20" s="747">
        <f t="shared" si="4"/>
        <v>117958.96</v>
      </c>
      <c r="Y20" s="747">
        <f t="shared" si="4"/>
        <v>120170.69</v>
      </c>
      <c r="Z20" s="747">
        <f t="shared" si="4"/>
        <v>122382.42</v>
      </c>
      <c r="AA20" s="747">
        <f t="shared" si="4"/>
        <v>124594.15</v>
      </c>
      <c r="AB20" s="747">
        <f t="shared" si="4"/>
        <v>127543.12999999999</v>
      </c>
      <c r="AC20" s="747">
        <f t="shared" si="4"/>
        <v>130492.1</v>
      </c>
      <c r="AD20" s="747">
        <f t="shared" si="4"/>
        <v>133441.07</v>
      </c>
      <c r="AE20" s="747">
        <f t="shared" si="4"/>
        <v>136390.05000000002</v>
      </c>
      <c r="AF20" s="747">
        <f t="shared" si="4"/>
        <v>139339.01999999999</v>
      </c>
      <c r="AG20" s="747">
        <f t="shared" si="4"/>
        <v>142288</v>
      </c>
      <c r="AH20" s="747">
        <f t="shared" si="4"/>
        <v>145236.97</v>
      </c>
      <c r="AI20" s="747">
        <f t="shared" si="4"/>
        <v>148185.94999999998</v>
      </c>
    </row>
    <row r="21" spans="1:35" s="260" customFormat="1" ht="12.75" x14ac:dyDescent="0.2">
      <c r="A21" s="263" t="s">
        <v>78</v>
      </c>
      <c r="B21" s="745">
        <f>'gadu šķirošana'!C44</f>
        <v>59412</v>
      </c>
      <c r="C21" s="745">
        <f>$B21*'gadu šķirošana'!D$77</f>
        <v>61194.36</v>
      </c>
      <c r="D21" s="746">
        <f>$B21*'gadu šķirošana'!E$77</f>
        <v>62976.72</v>
      </c>
      <c r="E21" s="746">
        <f>$B21*'gadu šķirošana'!F$77</f>
        <v>64759.08</v>
      </c>
      <c r="F21" s="746">
        <f>$B21*'gadu šķirošana'!G$77</f>
        <v>65947.320000000007</v>
      </c>
      <c r="G21" s="746">
        <f>$B21*'gadu šķirošana'!H$77</f>
        <v>67135.56</v>
      </c>
      <c r="H21" s="746">
        <f>$B21*'gadu šķirošana'!I$77</f>
        <v>68323.799999999988</v>
      </c>
      <c r="I21" s="746">
        <f>$B21*'gadu šķirošana'!J$77</f>
        <v>69512.039999999994</v>
      </c>
      <c r="J21" s="746">
        <f>$B21*'gadu šķirošana'!K$77</f>
        <v>70700.28</v>
      </c>
      <c r="K21" s="746">
        <f>$B21*'gadu šķirošana'!L$77</f>
        <v>71888.52</v>
      </c>
      <c r="L21" s="746">
        <f>$B21*'gadu šķirošana'!M$77</f>
        <v>73670.880000000005</v>
      </c>
      <c r="M21" s="746">
        <f>$B21*'gadu šķirošana'!N$77</f>
        <v>75453.240000000005</v>
      </c>
      <c r="N21" s="746">
        <f>$B21*'gadu šķirošana'!O$77</f>
        <v>77235.600000000006</v>
      </c>
      <c r="O21" s="746">
        <f>$B21*'gadu šķirošana'!P$77</f>
        <v>79017.960000000006</v>
      </c>
      <c r="P21" s="746">
        <f>$B21*'gadu šķirošana'!Q$77</f>
        <v>80800.320000000007</v>
      </c>
      <c r="Q21" s="746">
        <f>$B21*'gadu šķirošana'!R$77</f>
        <v>82582.679999999993</v>
      </c>
      <c r="R21" s="746">
        <f>$B21*'gadu šķirošana'!S$77</f>
        <v>84365.04</v>
      </c>
      <c r="S21" s="746">
        <f>$B21*'gadu šķirošana'!T$77</f>
        <v>86147.4</v>
      </c>
      <c r="T21" s="746">
        <f>$B21*'gadu šķirošana'!U$77</f>
        <v>87929.76</v>
      </c>
      <c r="U21" s="746">
        <f>$B21*'gadu šķirošana'!V$77</f>
        <v>89712.12</v>
      </c>
      <c r="V21" s="746">
        <f>$B21*'gadu šķirošana'!W$77</f>
        <v>91494.48</v>
      </c>
      <c r="W21" s="746">
        <f>$B21*'gadu šķirošana'!X$77</f>
        <v>93276.84</v>
      </c>
      <c r="X21" s="746">
        <f>$B21*'gadu šķirošana'!Y$77</f>
        <v>95059.200000000012</v>
      </c>
      <c r="Y21" s="746">
        <f>$B21*'gadu šķirošana'!Z$77</f>
        <v>96841.56</v>
      </c>
      <c r="Z21" s="746">
        <f>$B21*'gadu šķirošana'!AA$77</f>
        <v>98623.92</v>
      </c>
      <c r="AA21" s="746">
        <f>$B21*'gadu šķirošana'!AB$77</f>
        <v>100406.28</v>
      </c>
      <c r="AB21" s="746">
        <f>$B21*'gadu šķirošana'!AC$77</f>
        <v>102782.76</v>
      </c>
      <c r="AC21" s="746">
        <f>$B21*'gadu šķirošana'!AD$77</f>
        <v>105159.24</v>
      </c>
      <c r="AD21" s="746">
        <f>$B21*'gadu šķirošana'!AE$77</f>
        <v>107535.72</v>
      </c>
      <c r="AE21" s="746">
        <f>$B21*'gadu šķirošana'!AF$77</f>
        <v>109912.20000000001</v>
      </c>
      <c r="AF21" s="746">
        <f>$B21*'gadu šķirošana'!AG$77</f>
        <v>112288.68</v>
      </c>
      <c r="AG21" s="746">
        <f>$B21*'gadu šķirošana'!AH$77</f>
        <v>114665.16</v>
      </c>
      <c r="AH21" s="746">
        <f>$B21*'gadu šķirošana'!AI$77</f>
        <v>117041.64</v>
      </c>
      <c r="AI21" s="746">
        <f>$B21*'gadu šķirošana'!AJ$77</f>
        <v>119418.11999999998</v>
      </c>
    </row>
    <row r="22" spans="1:35" s="260" customFormat="1" ht="12.75" x14ac:dyDescent="0.2">
      <c r="A22" s="263" t="s">
        <v>79</v>
      </c>
      <c r="B22" s="745">
        <f>ROUND(B21*'Kopējie pieņēmumi'!E14,2)</f>
        <v>14312.35</v>
      </c>
      <c r="C22" s="745">
        <f>ROUND(C21*'Kopējie pieņēmumi'!F14,2)</f>
        <v>14741.72</v>
      </c>
      <c r="D22" s="748">
        <f>ROUND(D21*'Kopējie pieņēmumi'!G14,2)</f>
        <v>15171.09</v>
      </c>
      <c r="E22" s="748">
        <f>ROUND(E21*'Kopējie pieņēmumi'!H14,2)</f>
        <v>15600.46</v>
      </c>
      <c r="F22" s="748">
        <f>ROUND(F21*'Kopējie pieņēmumi'!I14,2)</f>
        <v>15886.71</v>
      </c>
      <c r="G22" s="748">
        <f>ROUND(G21*'Kopējie pieņēmumi'!J14,2)</f>
        <v>16172.96</v>
      </c>
      <c r="H22" s="748">
        <f>ROUND(H21*'Kopējie pieņēmumi'!K14,2)</f>
        <v>16459.2</v>
      </c>
      <c r="I22" s="748">
        <f>ROUND(I21*'Kopējie pieņēmumi'!L14,2)</f>
        <v>16745.45</v>
      </c>
      <c r="J22" s="748">
        <f>ROUND(J21*'Kopējie pieņēmumi'!M14,2)</f>
        <v>17031.7</v>
      </c>
      <c r="K22" s="748">
        <f>ROUND(K21*'Kopējie pieņēmumi'!N14,2)</f>
        <v>17317.939999999999</v>
      </c>
      <c r="L22" s="748">
        <f>ROUND(L21*'Kopējie pieņēmumi'!O14,2)</f>
        <v>17747.310000000001</v>
      </c>
      <c r="M22" s="748">
        <f>ROUND(M21*'Kopējie pieņēmumi'!P14,2)</f>
        <v>18176.689999999999</v>
      </c>
      <c r="N22" s="748">
        <f>ROUND(N21*'Kopējie pieņēmumi'!Q14,2)</f>
        <v>18606.060000000001</v>
      </c>
      <c r="O22" s="748">
        <f>ROUND(O21*'Kopējie pieņēmumi'!R14,2)</f>
        <v>19035.43</v>
      </c>
      <c r="P22" s="748">
        <f>ROUND(P21*'Kopējie pieņēmumi'!S14,2)</f>
        <v>19464.8</v>
      </c>
      <c r="Q22" s="748">
        <f>ROUND(Q21*'Kopējie pieņēmumi'!T14,2)</f>
        <v>19894.169999999998</v>
      </c>
      <c r="R22" s="748">
        <f>ROUND(R21*'Kopējie pieņēmumi'!U14,2)</f>
        <v>20323.54</v>
      </c>
      <c r="S22" s="748">
        <f>ROUND(S21*'Kopējie pieņēmumi'!V14,2)</f>
        <v>20752.91</v>
      </c>
      <c r="T22" s="748">
        <f>ROUND(T21*'Kopējie pieņēmumi'!W14,2)</f>
        <v>21182.28</v>
      </c>
      <c r="U22" s="748">
        <f>ROUND(U21*'Kopējie pieņēmumi'!X14,2)</f>
        <v>21611.65</v>
      </c>
      <c r="V22" s="748">
        <f>ROUND(V21*'Kopējie pieņēmumi'!Y14,2)</f>
        <v>22041.02</v>
      </c>
      <c r="W22" s="748">
        <f>ROUND(W21*'Kopējie pieņēmumi'!Z14,2)</f>
        <v>22470.39</v>
      </c>
      <c r="X22" s="748">
        <f>ROUND(X21*'Kopējie pieņēmumi'!AA14,2)</f>
        <v>22899.759999999998</v>
      </c>
      <c r="Y22" s="748">
        <f>ROUND(Y21*'Kopējie pieņēmumi'!AB14,2)</f>
        <v>23329.13</v>
      </c>
      <c r="Z22" s="748">
        <f>ROUND(Z21*'Kopējie pieņēmumi'!AC14,2)</f>
        <v>23758.5</v>
      </c>
      <c r="AA22" s="748">
        <f>ROUND(AA21*'Kopējie pieņēmumi'!AD14,2)</f>
        <v>24187.87</v>
      </c>
      <c r="AB22" s="748">
        <f>ROUND(AB21*'Kopējie pieņēmumi'!AE14,2)</f>
        <v>24760.37</v>
      </c>
      <c r="AC22" s="748">
        <f>ROUND(AC21*'Kopējie pieņēmumi'!AF14,2)</f>
        <v>25332.86</v>
      </c>
      <c r="AD22" s="748">
        <f>ROUND(AD21*'Kopējie pieņēmumi'!AG14,2)</f>
        <v>25905.35</v>
      </c>
      <c r="AE22" s="748">
        <f>ROUND(AE21*'Kopējie pieņēmumi'!AH14,2)</f>
        <v>26477.85</v>
      </c>
      <c r="AF22" s="748">
        <f>ROUND(AF21*'Kopējie pieņēmumi'!AI14,2)</f>
        <v>27050.34</v>
      </c>
      <c r="AG22" s="748">
        <f>ROUND(AG21*'Kopējie pieņēmumi'!AJ14,2)</f>
        <v>27622.84</v>
      </c>
      <c r="AH22" s="748">
        <f>ROUND(AH21*'Kopējie pieņēmumi'!AK14,2)</f>
        <v>28195.33</v>
      </c>
      <c r="AI22" s="748">
        <f>ROUND(AI21*'Kopējie pieņēmumi'!AL14,2)</f>
        <v>28767.83</v>
      </c>
    </row>
    <row r="23" spans="1:35" s="260" customFormat="1" ht="12.75" x14ac:dyDescent="0.2">
      <c r="A23" s="263" t="s">
        <v>80</v>
      </c>
      <c r="B23" s="745">
        <f>'gadu šķirošana'!C46</f>
        <v>0</v>
      </c>
      <c r="C23" s="745">
        <f>$B23*'gadu šķirošana'!D$77</f>
        <v>0</v>
      </c>
      <c r="D23" s="746">
        <f>$B23*'gadu šķirošana'!E$77</f>
        <v>0</v>
      </c>
      <c r="E23" s="746">
        <f>$B23*'gadu šķirošana'!F$77</f>
        <v>0</v>
      </c>
      <c r="F23" s="746">
        <f>$B23*'gadu šķirošana'!G$77</f>
        <v>0</v>
      </c>
      <c r="G23" s="746">
        <f>$B23*'gadu šķirošana'!H$77</f>
        <v>0</v>
      </c>
      <c r="H23" s="746">
        <f>$B23*'gadu šķirošana'!I$77</f>
        <v>0</v>
      </c>
      <c r="I23" s="746">
        <f>$B23*'gadu šķirošana'!J$77</f>
        <v>0</v>
      </c>
      <c r="J23" s="746">
        <f>$B23*'gadu šķirošana'!K$77</f>
        <v>0</v>
      </c>
      <c r="K23" s="746">
        <f>$B23*'gadu šķirošana'!L$77</f>
        <v>0</v>
      </c>
      <c r="L23" s="746">
        <f>$B23*'gadu šķirošana'!M$77</f>
        <v>0</v>
      </c>
      <c r="M23" s="746">
        <f>$B23*'gadu šķirošana'!N$77</f>
        <v>0</v>
      </c>
      <c r="N23" s="746">
        <f>$B23*'gadu šķirošana'!O$77</f>
        <v>0</v>
      </c>
      <c r="O23" s="746">
        <f>$B23*'gadu šķirošana'!P$77</f>
        <v>0</v>
      </c>
      <c r="P23" s="746">
        <f>$B23*'gadu šķirošana'!Q$77</f>
        <v>0</v>
      </c>
      <c r="Q23" s="746">
        <f>$B23*'gadu šķirošana'!R$77</f>
        <v>0</v>
      </c>
      <c r="R23" s="746">
        <f>$B23*'gadu šķirošana'!S$77</f>
        <v>0</v>
      </c>
      <c r="S23" s="746">
        <f>$B23*'gadu šķirošana'!T$77</f>
        <v>0</v>
      </c>
      <c r="T23" s="746">
        <f>$B23*'gadu šķirošana'!U$77</f>
        <v>0</v>
      </c>
      <c r="U23" s="746">
        <f>$B23*'gadu šķirošana'!V$77</f>
        <v>0</v>
      </c>
      <c r="V23" s="746">
        <f>$B23*'gadu šķirošana'!W$77</f>
        <v>0</v>
      </c>
      <c r="W23" s="746">
        <f>$B23*'gadu šķirošana'!X$77</f>
        <v>0</v>
      </c>
      <c r="X23" s="746">
        <f>$B23*'gadu šķirošana'!Y$77</f>
        <v>0</v>
      </c>
      <c r="Y23" s="746">
        <f>$B23*'gadu šķirošana'!Z$77</f>
        <v>0</v>
      </c>
      <c r="Z23" s="746">
        <f>$B23*'gadu šķirošana'!AA$77</f>
        <v>0</v>
      </c>
      <c r="AA23" s="746">
        <f>$B23*'gadu šķirošana'!AB$77</f>
        <v>0</v>
      </c>
      <c r="AB23" s="746">
        <f>$B23*'gadu šķirošana'!AC$77</f>
        <v>0</v>
      </c>
      <c r="AC23" s="746">
        <f>$B23*'gadu šķirošana'!AD$77</f>
        <v>0</v>
      </c>
      <c r="AD23" s="746">
        <f>$B23*'gadu šķirošana'!AE$77</f>
        <v>0</v>
      </c>
      <c r="AE23" s="746">
        <f>$B23*'gadu šķirošana'!AF$77</f>
        <v>0</v>
      </c>
      <c r="AF23" s="746">
        <f>$B23*'gadu šķirošana'!AG$77</f>
        <v>0</v>
      </c>
      <c r="AG23" s="746">
        <f>$B23*'gadu šķirošana'!AH$77</f>
        <v>0</v>
      </c>
      <c r="AH23" s="746">
        <f>$B23*'gadu šķirošana'!AI$77</f>
        <v>0</v>
      </c>
      <c r="AI23" s="746">
        <f>$B23*'gadu šķirošana'!AJ$77</f>
        <v>0</v>
      </c>
    </row>
    <row r="24" spans="1:35" s="260" customFormat="1" ht="12.75" x14ac:dyDescent="0.2">
      <c r="A24" s="264" t="s">
        <v>81</v>
      </c>
      <c r="B24" s="747">
        <f>SUM(B25:B27)</f>
        <v>74394.44</v>
      </c>
      <c r="C24" s="747">
        <f t="shared" ref="C24" si="5">SUM(C25:C27)</f>
        <v>76626.27</v>
      </c>
      <c r="D24" s="747">
        <f t="shared" ref="D24" si="6">SUM(D25:D27)</f>
        <v>78858.100000000006</v>
      </c>
      <c r="E24" s="747">
        <f t="shared" ref="E24" si="7">SUM(E25:E27)</f>
        <v>81089.94</v>
      </c>
      <c r="F24" s="747">
        <f t="shared" ref="F24" si="8">SUM(F25:F27)</f>
        <v>82577.820000000007</v>
      </c>
      <c r="G24" s="747">
        <f t="shared" ref="G24" si="9">SUM(G25:G27)</f>
        <v>84065.709999999992</v>
      </c>
      <c r="H24" s="747">
        <f t="shared" ref="H24" si="10">SUM(H25:H27)</f>
        <v>85553.599999999991</v>
      </c>
      <c r="I24" s="747">
        <f t="shared" ref="I24" si="11">SUM(I25:I27)</f>
        <v>87041.489999999991</v>
      </c>
      <c r="J24" s="747">
        <f t="shared" ref="J24" si="12">SUM(J25:J27)</f>
        <v>88529.37999999999</v>
      </c>
      <c r="K24" s="747">
        <f t="shared" ref="K24" si="13">SUM(K25:K27)</f>
        <v>90017.26999999999</v>
      </c>
      <c r="L24" s="747">
        <f t="shared" ref="L24" si="14">SUM(L25:L27)</f>
        <v>92249.099999999991</v>
      </c>
      <c r="M24" s="747">
        <f t="shared" ref="M24" si="15">SUM(M25:M27)</f>
        <v>94480.930000000008</v>
      </c>
      <c r="N24" s="747">
        <f t="shared" ref="N24" si="16">SUM(N25:N27)</f>
        <v>96712.77</v>
      </c>
      <c r="O24" s="747">
        <f t="shared" ref="O24" si="17">SUM(O25:O27)</f>
        <v>98944.6</v>
      </c>
      <c r="P24" s="747">
        <f t="shared" ref="P24" si="18">SUM(P25:P27)</f>
        <v>101176.43</v>
      </c>
      <c r="Q24" s="747">
        <f t="shared" ref="Q24" si="19">SUM(Q25:Q27)</f>
        <v>103408.27</v>
      </c>
      <c r="R24" s="747">
        <f t="shared" ref="R24" si="20">SUM(R25:R27)</f>
        <v>105640.09999999999</v>
      </c>
      <c r="S24" s="747">
        <f t="shared" ref="S24" si="21">SUM(S25:S27)</f>
        <v>107871.93</v>
      </c>
      <c r="T24" s="747">
        <f t="shared" ref="T24" si="22">SUM(T25:T27)</f>
        <v>110103.76999999999</v>
      </c>
      <c r="U24" s="747">
        <f t="shared" ref="U24" si="23">SUM(U25:U27)</f>
        <v>112335.6</v>
      </c>
      <c r="V24" s="747">
        <f t="shared" ref="V24" si="24">SUM(V25:V27)</f>
        <v>114567.43</v>
      </c>
      <c r="W24" s="747">
        <f t="shared" ref="W24" si="25">SUM(W25:W27)</f>
        <v>116799.27</v>
      </c>
      <c r="X24" s="747">
        <f t="shared" ref="X24" si="26">SUM(X25:X27)</f>
        <v>119031.1</v>
      </c>
      <c r="Y24" s="747">
        <f t="shared" ref="Y24" si="27">SUM(Y25:Y27)</f>
        <v>121262.93</v>
      </c>
      <c r="Z24" s="747">
        <f t="shared" ref="Z24" si="28">SUM(Z25:Z27)</f>
        <v>123494.76999999999</v>
      </c>
      <c r="AA24" s="747">
        <f t="shared" ref="AA24" si="29">SUM(AA25:AA27)</f>
        <v>125726.59999999999</v>
      </c>
      <c r="AB24" s="747">
        <f t="shared" ref="AB24" si="30">SUM(AB25:AB27)</f>
        <v>128702.37999999999</v>
      </c>
      <c r="AC24" s="747">
        <f t="shared" ref="AC24" si="31">SUM(AC25:AC27)</f>
        <v>131678.15000000002</v>
      </c>
      <c r="AD24" s="747">
        <f t="shared" ref="AD24" si="32">SUM(AD25:AD27)</f>
        <v>134653.93000000002</v>
      </c>
      <c r="AE24" s="747">
        <f t="shared" ref="AE24" si="33">SUM(AE25:AE27)</f>
        <v>137629.71000000002</v>
      </c>
      <c r="AF24" s="747">
        <f t="shared" ref="AF24" si="34">SUM(AF25:AF27)</f>
        <v>140605.49</v>
      </c>
      <c r="AG24" s="747">
        <f t="shared" ref="AG24" si="35">SUM(AG25:AG27)</f>
        <v>143581.26</v>
      </c>
      <c r="AH24" s="747">
        <f t="shared" ref="AH24" si="36">SUM(AH25:AH27)</f>
        <v>146557.04</v>
      </c>
      <c r="AI24" s="747">
        <f t="shared" ref="AI24" si="37">SUM(AI25:AI27)</f>
        <v>149532.81999999998</v>
      </c>
    </row>
    <row r="25" spans="1:35" s="260" customFormat="1" ht="12.75" x14ac:dyDescent="0.2">
      <c r="A25" s="263" t="s">
        <v>82</v>
      </c>
      <c r="B25" s="745">
        <f>'gadu šķirošana'!C59</f>
        <v>59952</v>
      </c>
      <c r="C25" s="745">
        <f>$B25*'gadu šķirošana'!D$77</f>
        <v>61750.560000000005</v>
      </c>
      <c r="D25" s="746">
        <f>$B25*'gadu šķirošana'!E$77</f>
        <v>63549.120000000003</v>
      </c>
      <c r="E25" s="746">
        <f>$B25*'gadu šķirošana'!F$77</f>
        <v>65347.680000000008</v>
      </c>
      <c r="F25" s="746">
        <f>$B25*'gadu šķirošana'!G$77</f>
        <v>66546.720000000001</v>
      </c>
      <c r="G25" s="746">
        <f>$B25*'gadu šķirošana'!H$77</f>
        <v>67745.759999999995</v>
      </c>
      <c r="H25" s="746">
        <f>$B25*'gadu šķirošana'!I$77</f>
        <v>68944.799999999988</v>
      </c>
      <c r="I25" s="746">
        <f>$B25*'gadu šķirošana'!J$77</f>
        <v>70143.839999999997</v>
      </c>
      <c r="J25" s="746">
        <f>$B25*'gadu šķirošana'!K$77</f>
        <v>71342.87999999999</v>
      </c>
      <c r="K25" s="746">
        <f>$B25*'gadu šķirošana'!L$77</f>
        <v>72541.919999999998</v>
      </c>
      <c r="L25" s="746">
        <f>$B25*'gadu šķirošana'!M$77</f>
        <v>74340.479999999996</v>
      </c>
      <c r="M25" s="746">
        <f>$B25*'gadu šķirošana'!N$77</f>
        <v>76139.040000000008</v>
      </c>
      <c r="N25" s="746">
        <f>$B25*'gadu šķirošana'!O$77</f>
        <v>77937.600000000006</v>
      </c>
      <c r="O25" s="746">
        <f>$B25*'gadu šķirošana'!P$77</f>
        <v>79736.160000000003</v>
      </c>
      <c r="P25" s="746">
        <f>$B25*'gadu šķirošana'!Q$77</f>
        <v>81534.720000000001</v>
      </c>
      <c r="Q25" s="746">
        <f>$B25*'gadu šķirošana'!R$77</f>
        <v>83333.279999999999</v>
      </c>
      <c r="R25" s="746">
        <f>$B25*'gadu šķirošana'!S$77</f>
        <v>85131.839999999997</v>
      </c>
      <c r="S25" s="746">
        <f>$B25*'gadu šķirošana'!T$77</f>
        <v>86930.4</v>
      </c>
      <c r="T25" s="746">
        <f>$B25*'gadu šķirošana'!U$77</f>
        <v>88728.959999999992</v>
      </c>
      <c r="U25" s="746">
        <f>$B25*'gadu šķirošana'!V$77</f>
        <v>90527.52</v>
      </c>
      <c r="V25" s="746">
        <f>$B25*'gadu šķirošana'!W$77</f>
        <v>92326.080000000002</v>
      </c>
      <c r="W25" s="746">
        <f>$B25*'gadu šķirošana'!X$77</f>
        <v>94124.64</v>
      </c>
      <c r="X25" s="746">
        <f>$B25*'gadu šķirošana'!Y$77</f>
        <v>95923.200000000012</v>
      </c>
      <c r="Y25" s="746">
        <f>$B25*'gadu šķirošana'!Z$77</f>
        <v>97721.76</v>
      </c>
      <c r="Z25" s="746">
        <f>$B25*'gadu šķirošana'!AA$77</f>
        <v>99520.319999999992</v>
      </c>
      <c r="AA25" s="746">
        <f>$B25*'gadu šķirošana'!AB$77</f>
        <v>101318.87999999999</v>
      </c>
      <c r="AB25" s="746">
        <f>$B25*'gadu šķirošana'!AC$77</f>
        <v>103716.95999999999</v>
      </c>
      <c r="AC25" s="746">
        <f>$B25*'gadu šķirošana'!AD$77</f>
        <v>106115.04000000001</v>
      </c>
      <c r="AD25" s="746">
        <f>$B25*'gadu šķirošana'!AE$77</f>
        <v>108513.12000000001</v>
      </c>
      <c r="AE25" s="746">
        <f>$B25*'gadu šķirošana'!AF$77</f>
        <v>110911.20000000001</v>
      </c>
      <c r="AF25" s="746">
        <f>$B25*'gadu šķirošana'!AG$77</f>
        <v>113309.28</v>
      </c>
      <c r="AG25" s="746">
        <f>$B25*'gadu šķirošana'!AH$77</f>
        <v>115707.36</v>
      </c>
      <c r="AH25" s="746">
        <f>$B25*'gadu šķirošana'!AI$77</f>
        <v>118105.44</v>
      </c>
      <c r="AI25" s="746">
        <f>$B25*'gadu šķirošana'!AJ$77</f>
        <v>120503.51999999999</v>
      </c>
    </row>
    <row r="26" spans="1:35" s="260" customFormat="1" ht="12.75" x14ac:dyDescent="0.2">
      <c r="A26" s="263" t="s">
        <v>83</v>
      </c>
      <c r="B26" s="745">
        <f>ROUND(B25*'Kopējie pieņēmumi'!E14,2)</f>
        <v>14442.44</v>
      </c>
      <c r="C26" s="745">
        <f>ROUND(C25*'Kopējie pieņēmumi'!F14,2)</f>
        <v>14875.71</v>
      </c>
      <c r="D26" s="748">
        <f>ROUND(D25*'Kopējie pieņēmumi'!G14,2)</f>
        <v>15308.98</v>
      </c>
      <c r="E26" s="748">
        <f>ROUND(E25*'Kopējie pieņēmumi'!H14,2)</f>
        <v>15742.26</v>
      </c>
      <c r="F26" s="748">
        <f>ROUND(F25*'Kopējie pieņēmumi'!I14,2)</f>
        <v>16031.1</v>
      </c>
      <c r="G26" s="748">
        <f>ROUND(G25*'Kopējie pieņēmumi'!J14,2)</f>
        <v>16319.95</v>
      </c>
      <c r="H26" s="748">
        <f>ROUND(H25*'Kopējie pieņēmumi'!K14,2)</f>
        <v>16608.8</v>
      </c>
      <c r="I26" s="748">
        <f>ROUND(I25*'Kopējie pieņēmumi'!L14,2)</f>
        <v>16897.650000000001</v>
      </c>
      <c r="J26" s="748">
        <f>ROUND(J25*'Kopējie pieņēmumi'!M14,2)</f>
        <v>17186.5</v>
      </c>
      <c r="K26" s="748">
        <f>ROUND(K25*'Kopējie pieņēmumi'!N14,2)</f>
        <v>17475.349999999999</v>
      </c>
      <c r="L26" s="748">
        <f>ROUND(L25*'Kopējie pieņēmumi'!O14,2)</f>
        <v>17908.62</v>
      </c>
      <c r="M26" s="748">
        <f>ROUND(M25*'Kopējie pieņēmumi'!P14,2)</f>
        <v>18341.89</v>
      </c>
      <c r="N26" s="748">
        <f>ROUND(N25*'Kopējie pieņēmumi'!Q14,2)</f>
        <v>18775.169999999998</v>
      </c>
      <c r="O26" s="748">
        <f>ROUND(O25*'Kopējie pieņēmumi'!R14,2)</f>
        <v>19208.439999999999</v>
      </c>
      <c r="P26" s="748">
        <f>ROUND(P25*'Kopējie pieņēmumi'!S14,2)</f>
        <v>19641.71</v>
      </c>
      <c r="Q26" s="748">
        <f>ROUND(Q25*'Kopējie pieņēmumi'!T14,2)</f>
        <v>20074.990000000002</v>
      </c>
      <c r="R26" s="748">
        <f>ROUND(R25*'Kopējie pieņēmumi'!U14,2)</f>
        <v>20508.259999999998</v>
      </c>
      <c r="S26" s="748">
        <f>ROUND(S25*'Kopējie pieņēmumi'!V14,2)</f>
        <v>20941.53</v>
      </c>
      <c r="T26" s="748">
        <f>ROUND(T25*'Kopējie pieņēmumi'!W14,2)</f>
        <v>21374.81</v>
      </c>
      <c r="U26" s="748">
        <f>ROUND(U25*'Kopējie pieņēmumi'!X14,2)</f>
        <v>21808.080000000002</v>
      </c>
      <c r="V26" s="748">
        <f>ROUND(V25*'Kopējie pieņēmumi'!Y14,2)</f>
        <v>22241.35</v>
      </c>
      <c r="W26" s="748">
        <f>ROUND(W25*'Kopējie pieņēmumi'!Z14,2)</f>
        <v>22674.63</v>
      </c>
      <c r="X26" s="748">
        <f>ROUND(X25*'Kopējie pieņēmumi'!AA14,2)</f>
        <v>23107.9</v>
      </c>
      <c r="Y26" s="748">
        <f>ROUND(Y25*'Kopējie pieņēmumi'!AB14,2)</f>
        <v>23541.17</v>
      </c>
      <c r="Z26" s="748">
        <f>ROUND(Z25*'Kopējie pieņēmumi'!AC14,2)</f>
        <v>23974.45</v>
      </c>
      <c r="AA26" s="748">
        <f>ROUND(AA25*'Kopējie pieņēmumi'!AD14,2)</f>
        <v>24407.72</v>
      </c>
      <c r="AB26" s="748">
        <f>ROUND(AB25*'Kopējie pieņēmumi'!AE14,2)</f>
        <v>24985.42</v>
      </c>
      <c r="AC26" s="748">
        <f>ROUND(AC25*'Kopējie pieņēmumi'!AF14,2)</f>
        <v>25563.11</v>
      </c>
      <c r="AD26" s="748">
        <f>ROUND(AD25*'Kopējie pieņēmumi'!AG14,2)</f>
        <v>26140.81</v>
      </c>
      <c r="AE26" s="748">
        <f>ROUND(AE25*'Kopējie pieņēmumi'!AH14,2)</f>
        <v>26718.51</v>
      </c>
      <c r="AF26" s="748">
        <f>ROUND(AF25*'Kopējie pieņēmumi'!AI14,2)</f>
        <v>27296.21</v>
      </c>
      <c r="AG26" s="748">
        <f>ROUND(AG25*'Kopējie pieņēmumi'!AJ14,2)</f>
        <v>27873.9</v>
      </c>
      <c r="AH26" s="748">
        <f>ROUND(AH25*'Kopējie pieņēmumi'!AK14,2)</f>
        <v>28451.599999999999</v>
      </c>
      <c r="AI26" s="748">
        <f>ROUND(AI25*'Kopējie pieņēmumi'!AL14,2)</f>
        <v>29029.3</v>
      </c>
    </row>
    <row r="27" spans="1:35" s="260" customFormat="1" ht="12.75" x14ac:dyDescent="0.2">
      <c r="A27" s="263" t="s">
        <v>84</v>
      </c>
      <c r="B27" s="745">
        <f>'gadu šķirošana'!C61</f>
        <v>0</v>
      </c>
      <c r="C27" s="745">
        <f>$B27*'gadu šķirošana'!D$77</f>
        <v>0</v>
      </c>
      <c r="D27" s="746">
        <f>$B27*'gadu šķirošana'!E$77</f>
        <v>0</v>
      </c>
      <c r="E27" s="746">
        <f>$B27*'gadu šķirošana'!F$77</f>
        <v>0</v>
      </c>
      <c r="F27" s="746">
        <f>$B27*'gadu šķirošana'!G$77</f>
        <v>0</v>
      </c>
      <c r="G27" s="746">
        <f>$B27*'gadu šķirošana'!H$77</f>
        <v>0</v>
      </c>
      <c r="H27" s="746">
        <f>$B27*'gadu šķirošana'!I$77</f>
        <v>0</v>
      </c>
      <c r="I27" s="746">
        <f>$B27*'gadu šķirošana'!J$77</f>
        <v>0</v>
      </c>
      <c r="J27" s="746">
        <f>$B27*'gadu šķirošana'!K$77</f>
        <v>0</v>
      </c>
      <c r="K27" s="746">
        <f>$B27*'gadu šķirošana'!L$77</f>
        <v>0</v>
      </c>
      <c r="L27" s="746">
        <f>$B27*'gadu šķirošana'!M$77</f>
        <v>0</v>
      </c>
      <c r="M27" s="746">
        <f>$B27*'gadu šķirošana'!N$77</f>
        <v>0</v>
      </c>
      <c r="N27" s="746">
        <f>$B27*'gadu šķirošana'!O$77</f>
        <v>0</v>
      </c>
      <c r="O27" s="746">
        <f>$B27*'gadu šķirošana'!P$77</f>
        <v>0</v>
      </c>
      <c r="P27" s="746">
        <f>$B27*'gadu šķirošana'!Q$77</f>
        <v>0</v>
      </c>
      <c r="Q27" s="746">
        <f>$B27*'gadu šķirošana'!R$77</f>
        <v>0</v>
      </c>
      <c r="R27" s="746">
        <f>$B27*'gadu šķirošana'!S$77</f>
        <v>0</v>
      </c>
      <c r="S27" s="746">
        <f>$B27*'gadu šķirošana'!T$77</f>
        <v>0</v>
      </c>
      <c r="T27" s="746">
        <f>$B27*'gadu šķirošana'!U$77</f>
        <v>0</v>
      </c>
      <c r="U27" s="746">
        <f>$B27*'gadu šķirošana'!V$77</f>
        <v>0</v>
      </c>
      <c r="V27" s="746">
        <f>$B27*'gadu šķirošana'!W$77</f>
        <v>0</v>
      </c>
      <c r="W27" s="746">
        <f>$B27*'gadu šķirošana'!X$77</f>
        <v>0</v>
      </c>
      <c r="X27" s="746">
        <f>$B27*'gadu šķirošana'!Y$77</f>
        <v>0</v>
      </c>
      <c r="Y27" s="746">
        <f>$B27*'gadu šķirošana'!Z$77</f>
        <v>0</v>
      </c>
      <c r="Z27" s="746">
        <f>$B27*'gadu šķirošana'!AA$77</f>
        <v>0</v>
      </c>
      <c r="AA27" s="746">
        <f>$B27*'gadu šķirošana'!AB$77</f>
        <v>0</v>
      </c>
      <c r="AB27" s="746">
        <f>$B27*'gadu šķirošana'!AC$77</f>
        <v>0</v>
      </c>
      <c r="AC27" s="746">
        <f>$B27*'gadu šķirošana'!AD$77</f>
        <v>0</v>
      </c>
      <c r="AD27" s="746">
        <f>$B27*'gadu šķirošana'!AE$77</f>
        <v>0</v>
      </c>
      <c r="AE27" s="746">
        <f>$B27*'gadu šķirošana'!AF$77</f>
        <v>0</v>
      </c>
      <c r="AF27" s="746">
        <f>$B27*'gadu šķirošana'!AG$77</f>
        <v>0</v>
      </c>
      <c r="AG27" s="746">
        <f>$B27*'gadu šķirošana'!AH$77</f>
        <v>0</v>
      </c>
      <c r="AH27" s="746">
        <f>$B27*'gadu šķirošana'!AI$77</f>
        <v>0</v>
      </c>
      <c r="AI27" s="746">
        <f>$B27*'gadu šķirošana'!AJ$77</f>
        <v>0</v>
      </c>
    </row>
    <row r="28" spans="1:35" s="260" customFormat="1" ht="12.75" x14ac:dyDescent="0.2">
      <c r="A28" s="264" t="s">
        <v>85</v>
      </c>
      <c r="B28" s="711">
        <f>SUM(B20,B24)</f>
        <v>148118.79</v>
      </c>
      <c r="C28" s="711">
        <f t="shared" ref="C28:AI28" si="38">SUM(C20,C24)</f>
        <v>152562.35</v>
      </c>
      <c r="D28" s="711">
        <f t="shared" si="38"/>
        <v>157005.91</v>
      </c>
      <c r="E28" s="711">
        <f t="shared" si="38"/>
        <v>161449.48000000001</v>
      </c>
      <c r="F28" s="711">
        <f t="shared" si="38"/>
        <v>164411.85</v>
      </c>
      <c r="G28" s="711">
        <f t="shared" si="38"/>
        <v>167374.22999999998</v>
      </c>
      <c r="H28" s="711">
        <f t="shared" si="38"/>
        <v>170336.59999999998</v>
      </c>
      <c r="I28" s="711">
        <f t="shared" si="38"/>
        <v>173298.97999999998</v>
      </c>
      <c r="J28" s="711">
        <f t="shared" si="38"/>
        <v>176261.36</v>
      </c>
      <c r="K28" s="711">
        <f t="shared" si="38"/>
        <v>179223.72999999998</v>
      </c>
      <c r="L28" s="711">
        <f t="shared" si="38"/>
        <v>183667.28999999998</v>
      </c>
      <c r="M28" s="711">
        <f t="shared" si="38"/>
        <v>188110.86000000002</v>
      </c>
      <c r="N28" s="711">
        <f t="shared" si="38"/>
        <v>192554.43</v>
      </c>
      <c r="O28" s="711">
        <f t="shared" si="38"/>
        <v>196997.99000000002</v>
      </c>
      <c r="P28" s="711">
        <f t="shared" si="38"/>
        <v>201441.55</v>
      </c>
      <c r="Q28" s="711">
        <f t="shared" si="38"/>
        <v>205885.12</v>
      </c>
      <c r="R28" s="711">
        <f t="shared" si="38"/>
        <v>210328.68</v>
      </c>
      <c r="S28" s="711">
        <f t="shared" si="38"/>
        <v>214772.24</v>
      </c>
      <c r="T28" s="711">
        <f t="shared" si="38"/>
        <v>219215.81</v>
      </c>
      <c r="U28" s="711">
        <f t="shared" si="38"/>
        <v>223659.37</v>
      </c>
      <c r="V28" s="711">
        <f t="shared" si="38"/>
        <v>228102.93</v>
      </c>
      <c r="W28" s="711">
        <f t="shared" si="38"/>
        <v>232546.5</v>
      </c>
      <c r="X28" s="711">
        <f t="shared" si="38"/>
        <v>236990.06</v>
      </c>
      <c r="Y28" s="711">
        <f t="shared" si="38"/>
        <v>241433.62</v>
      </c>
      <c r="Z28" s="711">
        <f t="shared" si="38"/>
        <v>245877.19</v>
      </c>
      <c r="AA28" s="711">
        <f t="shared" si="38"/>
        <v>250320.75</v>
      </c>
      <c r="AB28" s="711">
        <f t="shared" si="38"/>
        <v>256245.50999999998</v>
      </c>
      <c r="AC28" s="711">
        <f t="shared" si="38"/>
        <v>262170.25</v>
      </c>
      <c r="AD28" s="711">
        <f t="shared" si="38"/>
        <v>268095</v>
      </c>
      <c r="AE28" s="711">
        <f t="shared" si="38"/>
        <v>274019.76</v>
      </c>
      <c r="AF28" s="711">
        <f t="shared" si="38"/>
        <v>279944.51</v>
      </c>
      <c r="AG28" s="711">
        <f t="shared" si="38"/>
        <v>285869.26</v>
      </c>
      <c r="AH28" s="711">
        <f t="shared" si="38"/>
        <v>291794.01</v>
      </c>
      <c r="AI28" s="711">
        <f t="shared" si="38"/>
        <v>297718.76999999996</v>
      </c>
    </row>
    <row r="29" spans="1:35" s="260" customFormat="1" ht="25.5" x14ac:dyDescent="0.2">
      <c r="A29" s="178" t="s">
        <v>86</v>
      </c>
      <c r="B29" s="711">
        <f t="shared" ref="B29:AG29" si="39">SUM(B19,B28)</f>
        <v>477394.9</v>
      </c>
      <c r="C29" s="711">
        <f t="shared" si="39"/>
        <v>491716.74329999997</v>
      </c>
      <c r="D29" s="711">
        <f t="shared" si="39"/>
        <v>502745.82550000004</v>
      </c>
      <c r="E29" s="711">
        <f t="shared" si="39"/>
        <v>513774.91769999999</v>
      </c>
      <c r="F29" s="711">
        <f t="shared" si="39"/>
        <v>523322.80989999999</v>
      </c>
      <c r="G29" s="711">
        <f t="shared" si="39"/>
        <v>532870.7121</v>
      </c>
      <c r="H29" s="711">
        <f t="shared" si="39"/>
        <v>542418.60430000001</v>
      </c>
      <c r="I29" s="711">
        <f t="shared" si="39"/>
        <v>551966.5064999999</v>
      </c>
      <c r="J29" s="711">
        <f t="shared" si="39"/>
        <v>561514.40869999991</v>
      </c>
      <c r="K29" s="711">
        <f t="shared" si="39"/>
        <v>571062.30090000003</v>
      </c>
      <c r="L29" s="711">
        <f t="shared" si="39"/>
        <v>582091.38309999998</v>
      </c>
      <c r="M29" s="711">
        <f t="shared" si="39"/>
        <v>593120.47529999993</v>
      </c>
      <c r="N29" s="711">
        <f t="shared" si="39"/>
        <v>604149.5675</v>
      </c>
      <c r="O29" s="711">
        <f t="shared" si="39"/>
        <v>618471.41080000007</v>
      </c>
      <c r="P29" s="711">
        <f t="shared" si="39"/>
        <v>632793.25410000002</v>
      </c>
      <c r="Q29" s="711">
        <f t="shared" si="39"/>
        <v>647115.1074000001</v>
      </c>
      <c r="R29" s="711">
        <f t="shared" si="39"/>
        <v>661436.95069999993</v>
      </c>
      <c r="S29" s="711">
        <f t="shared" si="39"/>
        <v>675758.79399999999</v>
      </c>
      <c r="T29" s="711">
        <f t="shared" si="39"/>
        <v>690080.64729999995</v>
      </c>
      <c r="U29" s="711">
        <f t="shared" si="39"/>
        <v>704402.49060000002</v>
      </c>
      <c r="V29" s="711">
        <f t="shared" si="39"/>
        <v>718724.33389999997</v>
      </c>
      <c r="W29" s="711">
        <f t="shared" si="39"/>
        <v>733046.18720000004</v>
      </c>
      <c r="X29" s="711">
        <f t="shared" si="39"/>
        <v>747368.03050000011</v>
      </c>
      <c r="Y29" s="711">
        <f t="shared" si="39"/>
        <v>761689.87380000006</v>
      </c>
      <c r="Z29" s="711">
        <f t="shared" si="39"/>
        <v>776011.72710000002</v>
      </c>
      <c r="AA29" s="711">
        <f t="shared" si="39"/>
        <v>790333.57040000008</v>
      </c>
      <c r="AB29" s="711">
        <f t="shared" si="39"/>
        <v>806136.61369999987</v>
      </c>
      <c r="AC29" s="711">
        <f t="shared" si="39"/>
        <v>821939.63699999987</v>
      </c>
      <c r="AD29" s="711">
        <f t="shared" si="39"/>
        <v>837742.6703</v>
      </c>
      <c r="AE29" s="711">
        <f t="shared" si="39"/>
        <v>853545.71360000013</v>
      </c>
      <c r="AF29" s="711">
        <f t="shared" si="39"/>
        <v>872641.50800000015</v>
      </c>
      <c r="AG29" s="711">
        <f t="shared" si="39"/>
        <v>891737.30240000016</v>
      </c>
      <c r="AH29" s="711">
        <f>SUM(AH19,AH28)</f>
        <v>910833.09679999994</v>
      </c>
      <c r="AI29" s="711">
        <f>SUM(AI19,AI28)</f>
        <v>929928.90119999996</v>
      </c>
    </row>
    <row r="30" spans="1:35" s="266" customFormat="1" ht="12.75" x14ac:dyDescent="0.2">
      <c r="A30" s="213" t="s">
        <v>87</v>
      </c>
      <c r="B30" s="745">
        <f>$B44*B$56</f>
        <v>237768.3</v>
      </c>
      <c r="C30" s="745">
        <f>$C44*C$56</f>
        <v>237768.3</v>
      </c>
      <c r="D30" s="746">
        <f>D44*D$56</f>
        <v>194767.65</v>
      </c>
      <c r="E30" s="746">
        <f t="shared" ref="E30:AI30" si="40">E44*E$56</f>
        <v>199290</v>
      </c>
      <c r="F30" s="746">
        <f t="shared" si="40"/>
        <v>204400</v>
      </c>
      <c r="G30" s="746">
        <f t="shared" si="40"/>
        <v>206955</v>
      </c>
      <c r="H30" s="746">
        <f t="shared" si="40"/>
        <v>212065</v>
      </c>
      <c r="I30" s="746">
        <f t="shared" si="40"/>
        <v>214620</v>
      </c>
      <c r="J30" s="746">
        <f t="shared" si="40"/>
        <v>219730</v>
      </c>
      <c r="K30" s="746">
        <f t="shared" si="40"/>
        <v>222285</v>
      </c>
      <c r="L30" s="746">
        <f t="shared" si="40"/>
        <v>227395</v>
      </c>
      <c r="M30" s="746">
        <f t="shared" si="40"/>
        <v>229950</v>
      </c>
      <c r="N30" s="746">
        <f t="shared" si="40"/>
        <v>235060</v>
      </c>
      <c r="O30" s="746">
        <f t="shared" si="40"/>
        <v>240170</v>
      </c>
      <c r="P30" s="746">
        <f t="shared" si="40"/>
        <v>245280</v>
      </c>
      <c r="Q30" s="746">
        <f t="shared" si="40"/>
        <v>250390</v>
      </c>
      <c r="R30" s="746">
        <f t="shared" si="40"/>
        <v>258055</v>
      </c>
      <c r="S30" s="746">
        <f t="shared" si="40"/>
        <v>263165</v>
      </c>
      <c r="T30" s="746">
        <f t="shared" si="40"/>
        <v>268275</v>
      </c>
      <c r="U30" s="746">
        <f t="shared" si="40"/>
        <v>273385</v>
      </c>
      <c r="V30" s="746">
        <f t="shared" si="40"/>
        <v>278495</v>
      </c>
      <c r="W30" s="746">
        <f t="shared" si="40"/>
        <v>283605</v>
      </c>
      <c r="X30" s="746">
        <f t="shared" si="40"/>
        <v>288715</v>
      </c>
      <c r="Y30" s="746">
        <f t="shared" si="40"/>
        <v>296380</v>
      </c>
      <c r="Z30" s="746">
        <f t="shared" si="40"/>
        <v>301490</v>
      </c>
      <c r="AA30" s="746">
        <f t="shared" si="40"/>
        <v>306600</v>
      </c>
      <c r="AB30" s="746">
        <f t="shared" si="40"/>
        <v>311710</v>
      </c>
      <c r="AC30" s="746">
        <f t="shared" si="40"/>
        <v>319375</v>
      </c>
      <c r="AD30" s="746">
        <f t="shared" si="40"/>
        <v>324485</v>
      </c>
      <c r="AE30" s="746">
        <f t="shared" si="40"/>
        <v>329595</v>
      </c>
      <c r="AF30" s="746">
        <f t="shared" si="40"/>
        <v>337260</v>
      </c>
      <c r="AG30" s="746">
        <f t="shared" si="40"/>
        <v>344925</v>
      </c>
      <c r="AH30" s="746">
        <f t="shared" si="40"/>
        <v>352590</v>
      </c>
      <c r="AI30" s="746">
        <f t="shared" si="40"/>
        <v>360255</v>
      </c>
    </row>
    <row r="31" spans="1:35" s="267" customFormat="1" ht="12.75" x14ac:dyDescent="0.2">
      <c r="A31" s="57" t="s">
        <v>88</v>
      </c>
      <c r="B31" s="748">
        <f>B45*B56</f>
        <v>37468.400000000001</v>
      </c>
      <c r="C31" s="748">
        <f t="shared" ref="C31:AI31" si="41">C45*C56</f>
        <v>37468.400000000001</v>
      </c>
      <c r="D31" s="748">
        <f t="shared" si="41"/>
        <v>30692.2</v>
      </c>
      <c r="E31" s="748">
        <f t="shared" si="41"/>
        <v>31090.799999999999</v>
      </c>
      <c r="F31" s="748">
        <f t="shared" si="41"/>
        <v>31888</v>
      </c>
      <c r="G31" s="748">
        <f t="shared" si="41"/>
        <v>32286.600000000002</v>
      </c>
      <c r="H31" s="748">
        <f t="shared" si="41"/>
        <v>33083.799999999996</v>
      </c>
      <c r="I31" s="748">
        <f t="shared" si="41"/>
        <v>33482.400000000001</v>
      </c>
      <c r="J31" s="748">
        <f t="shared" si="41"/>
        <v>34279.599999999999</v>
      </c>
      <c r="K31" s="748">
        <f t="shared" si="41"/>
        <v>34678.199999999997</v>
      </c>
      <c r="L31" s="748">
        <f t="shared" si="41"/>
        <v>35475.4</v>
      </c>
      <c r="M31" s="748">
        <f t="shared" si="41"/>
        <v>35874</v>
      </c>
      <c r="N31" s="748">
        <f t="shared" si="41"/>
        <v>36671.200000000004</v>
      </c>
      <c r="O31" s="748">
        <f t="shared" si="41"/>
        <v>37468.400000000001</v>
      </c>
      <c r="P31" s="748">
        <f t="shared" si="41"/>
        <v>38265.599999999999</v>
      </c>
      <c r="Q31" s="748">
        <f t="shared" si="41"/>
        <v>39062.800000000003</v>
      </c>
      <c r="R31" s="748">
        <f t="shared" si="41"/>
        <v>40258.6</v>
      </c>
      <c r="S31" s="748">
        <f t="shared" si="41"/>
        <v>41055.800000000003</v>
      </c>
      <c r="T31" s="748">
        <f t="shared" si="41"/>
        <v>41853</v>
      </c>
      <c r="U31" s="748">
        <f t="shared" si="41"/>
        <v>42650.200000000004</v>
      </c>
      <c r="V31" s="748">
        <f t="shared" si="41"/>
        <v>43447.4</v>
      </c>
      <c r="W31" s="748">
        <f t="shared" si="41"/>
        <v>44244.600000000006</v>
      </c>
      <c r="X31" s="748">
        <f t="shared" si="41"/>
        <v>45041.799999999996</v>
      </c>
      <c r="Y31" s="748">
        <f t="shared" si="41"/>
        <v>46237.599999999999</v>
      </c>
      <c r="Z31" s="748">
        <f t="shared" si="41"/>
        <v>47034.799999999996</v>
      </c>
      <c r="AA31" s="748">
        <f t="shared" si="41"/>
        <v>47832</v>
      </c>
      <c r="AB31" s="748">
        <f t="shared" si="41"/>
        <v>48629.2</v>
      </c>
      <c r="AC31" s="748">
        <f t="shared" si="41"/>
        <v>49825</v>
      </c>
      <c r="AD31" s="748">
        <f t="shared" si="41"/>
        <v>50622.2</v>
      </c>
      <c r="AE31" s="748">
        <f t="shared" si="41"/>
        <v>51419.4</v>
      </c>
      <c r="AF31" s="748">
        <f t="shared" si="41"/>
        <v>52615.200000000004</v>
      </c>
      <c r="AG31" s="748">
        <f t="shared" si="41"/>
        <v>53811</v>
      </c>
      <c r="AH31" s="748">
        <f t="shared" si="41"/>
        <v>55006.799999999996</v>
      </c>
      <c r="AI31" s="748">
        <f t="shared" si="41"/>
        <v>56202.6</v>
      </c>
    </row>
    <row r="32" spans="1:35" s="266" customFormat="1" ht="12.75" x14ac:dyDescent="0.2">
      <c r="A32" s="213" t="s">
        <v>89</v>
      </c>
      <c r="B32" s="745">
        <f>B46*B$56</f>
        <v>49594.399999999994</v>
      </c>
      <c r="C32" s="745">
        <f t="shared" ref="C32:AI32" si="42">C46*C$56</f>
        <v>49594.399999999994</v>
      </c>
      <c r="D32" s="746">
        <f t="shared" si="42"/>
        <v>40625.200000000004</v>
      </c>
      <c r="E32" s="746">
        <f t="shared" si="42"/>
        <v>41152.800000000003</v>
      </c>
      <c r="F32" s="746">
        <f t="shared" si="42"/>
        <v>42208</v>
      </c>
      <c r="G32" s="746">
        <f t="shared" si="42"/>
        <v>42735.600000000006</v>
      </c>
      <c r="H32" s="746">
        <f t="shared" si="42"/>
        <v>43790.799999999996</v>
      </c>
      <c r="I32" s="746">
        <f t="shared" si="42"/>
        <v>44318.400000000001</v>
      </c>
      <c r="J32" s="746">
        <f t="shared" si="42"/>
        <v>45373.599999999999</v>
      </c>
      <c r="K32" s="746">
        <f t="shared" si="42"/>
        <v>45901.2</v>
      </c>
      <c r="L32" s="746">
        <f t="shared" si="42"/>
        <v>46956.4</v>
      </c>
      <c r="M32" s="746">
        <f t="shared" si="42"/>
        <v>47484</v>
      </c>
      <c r="N32" s="746">
        <f t="shared" si="42"/>
        <v>48539.200000000004</v>
      </c>
      <c r="O32" s="746">
        <f t="shared" si="42"/>
        <v>49594.399999999994</v>
      </c>
      <c r="P32" s="746">
        <f t="shared" si="42"/>
        <v>50649.599999999999</v>
      </c>
      <c r="Q32" s="746">
        <f t="shared" si="42"/>
        <v>51704.799999999996</v>
      </c>
      <c r="R32" s="746">
        <f t="shared" si="42"/>
        <v>53287.6</v>
      </c>
      <c r="S32" s="746">
        <f t="shared" si="42"/>
        <v>54342.8</v>
      </c>
      <c r="T32" s="746">
        <f t="shared" si="42"/>
        <v>55398</v>
      </c>
      <c r="U32" s="746">
        <f t="shared" si="42"/>
        <v>56453.200000000004</v>
      </c>
      <c r="V32" s="746">
        <f t="shared" si="42"/>
        <v>57508.4</v>
      </c>
      <c r="W32" s="746">
        <f t="shared" si="42"/>
        <v>58563.600000000006</v>
      </c>
      <c r="X32" s="746">
        <f t="shared" si="42"/>
        <v>59618.799999999996</v>
      </c>
      <c r="Y32" s="746">
        <f t="shared" si="42"/>
        <v>61201.599999999999</v>
      </c>
      <c r="Z32" s="746">
        <f t="shared" si="42"/>
        <v>62256.799999999996</v>
      </c>
      <c r="AA32" s="746">
        <f t="shared" si="42"/>
        <v>63312</v>
      </c>
      <c r="AB32" s="746">
        <f t="shared" si="42"/>
        <v>64367.199999999997</v>
      </c>
      <c r="AC32" s="746">
        <f t="shared" si="42"/>
        <v>65950</v>
      </c>
      <c r="AD32" s="746">
        <f t="shared" si="42"/>
        <v>67005.2</v>
      </c>
      <c r="AE32" s="746">
        <f t="shared" si="42"/>
        <v>68060.400000000009</v>
      </c>
      <c r="AF32" s="746">
        <f t="shared" si="42"/>
        <v>69643.199999999997</v>
      </c>
      <c r="AG32" s="746">
        <f t="shared" si="42"/>
        <v>71226</v>
      </c>
      <c r="AH32" s="746">
        <f t="shared" si="42"/>
        <v>72808.799999999988</v>
      </c>
      <c r="AI32" s="746">
        <f t="shared" si="42"/>
        <v>74391.599999999991</v>
      </c>
    </row>
    <row r="33" spans="1:35" s="266" customFormat="1" ht="12.75" x14ac:dyDescent="0.2">
      <c r="A33" s="268" t="s">
        <v>90</v>
      </c>
      <c r="B33" s="722">
        <f t="shared" ref="B33:AG33" si="43">SUM(B30:B32)</f>
        <v>324831.09999999998</v>
      </c>
      <c r="C33" s="722">
        <f t="shared" si="43"/>
        <v>324831.09999999998</v>
      </c>
      <c r="D33" s="722">
        <f t="shared" si="43"/>
        <v>266085.05</v>
      </c>
      <c r="E33" s="722">
        <f t="shared" si="43"/>
        <v>271533.59999999998</v>
      </c>
      <c r="F33" s="722">
        <f t="shared" si="43"/>
        <v>278496</v>
      </c>
      <c r="G33" s="722">
        <f t="shared" si="43"/>
        <v>281977.2</v>
      </c>
      <c r="H33" s="722">
        <f t="shared" si="43"/>
        <v>288939.59999999998</v>
      </c>
      <c r="I33" s="722">
        <f t="shared" si="43"/>
        <v>292420.8</v>
      </c>
      <c r="J33" s="722">
        <f t="shared" si="43"/>
        <v>299383.2</v>
      </c>
      <c r="K33" s="722">
        <f t="shared" si="43"/>
        <v>302864.40000000002</v>
      </c>
      <c r="L33" s="722">
        <f t="shared" si="43"/>
        <v>309826.80000000005</v>
      </c>
      <c r="M33" s="722">
        <f t="shared" si="43"/>
        <v>313308</v>
      </c>
      <c r="N33" s="722">
        <f t="shared" si="43"/>
        <v>320270.40000000002</v>
      </c>
      <c r="O33" s="722">
        <f t="shared" si="43"/>
        <v>327232.80000000005</v>
      </c>
      <c r="P33" s="722">
        <f t="shared" si="43"/>
        <v>334195.19999999995</v>
      </c>
      <c r="Q33" s="722">
        <f t="shared" si="43"/>
        <v>341157.6</v>
      </c>
      <c r="R33" s="722">
        <f t="shared" si="43"/>
        <v>351601.19999999995</v>
      </c>
      <c r="S33" s="722">
        <f t="shared" si="43"/>
        <v>358563.6</v>
      </c>
      <c r="T33" s="722">
        <f t="shared" si="43"/>
        <v>365526</v>
      </c>
      <c r="U33" s="722">
        <f t="shared" si="43"/>
        <v>372488.4</v>
      </c>
      <c r="V33" s="722">
        <f t="shared" si="43"/>
        <v>379450.80000000005</v>
      </c>
      <c r="W33" s="722">
        <f t="shared" si="43"/>
        <v>386413.19999999995</v>
      </c>
      <c r="X33" s="722">
        <f t="shared" si="43"/>
        <v>393375.6</v>
      </c>
      <c r="Y33" s="722">
        <f t="shared" si="43"/>
        <v>403819.19999999995</v>
      </c>
      <c r="Z33" s="722">
        <f t="shared" si="43"/>
        <v>410781.6</v>
      </c>
      <c r="AA33" s="722">
        <f t="shared" si="43"/>
        <v>417744</v>
      </c>
      <c r="AB33" s="722">
        <f t="shared" si="43"/>
        <v>424706.4</v>
      </c>
      <c r="AC33" s="722">
        <f t="shared" si="43"/>
        <v>435150</v>
      </c>
      <c r="AD33" s="722">
        <f t="shared" si="43"/>
        <v>442112.4</v>
      </c>
      <c r="AE33" s="722">
        <f t="shared" si="43"/>
        <v>449074.80000000005</v>
      </c>
      <c r="AF33" s="722">
        <f t="shared" si="43"/>
        <v>459518.4</v>
      </c>
      <c r="AG33" s="722">
        <f t="shared" si="43"/>
        <v>469962</v>
      </c>
      <c r="AH33" s="722">
        <f>SUM(AH30:AH32)</f>
        <v>480405.6</v>
      </c>
      <c r="AI33" s="722">
        <f>SUM(AI30:AI32)</f>
        <v>490849.19999999995</v>
      </c>
    </row>
    <row r="34" spans="1:35" s="266" customFormat="1" ht="12.75" x14ac:dyDescent="0.2">
      <c r="A34" s="213" t="s">
        <v>91</v>
      </c>
      <c r="B34" s="745">
        <f>B49*B$59</f>
        <v>254355.36000000004</v>
      </c>
      <c r="C34" s="745">
        <f t="shared" ref="C34:AI34" si="44">C49*C$59</f>
        <v>211205.79000000004</v>
      </c>
      <c r="D34" s="746">
        <f t="shared" si="44"/>
        <v>206663.73000000004</v>
      </c>
      <c r="E34" s="746">
        <f t="shared" si="44"/>
        <v>211218.2</v>
      </c>
      <c r="F34" s="746">
        <f t="shared" si="44"/>
        <v>215809.9</v>
      </c>
      <c r="G34" s="746">
        <f t="shared" si="44"/>
        <v>220401.6</v>
      </c>
      <c r="H34" s="746">
        <f t="shared" si="44"/>
        <v>222697.44999999998</v>
      </c>
      <c r="I34" s="746">
        <f t="shared" si="44"/>
        <v>227289.15</v>
      </c>
      <c r="J34" s="746">
        <f t="shared" si="44"/>
        <v>231880.85</v>
      </c>
      <c r="K34" s="746">
        <f t="shared" si="44"/>
        <v>234176.7</v>
      </c>
      <c r="L34" s="746">
        <f t="shared" si="44"/>
        <v>238768.4</v>
      </c>
      <c r="M34" s="746">
        <f t="shared" si="44"/>
        <v>243360.1</v>
      </c>
      <c r="N34" s="746">
        <f t="shared" si="44"/>
        <v>247951.80000000002</v>
      </c>
      <c r="O34" s="746">
        <f t="shared" si="44"/>
        <v>252543.50000000003</v>
      </c>
      <c r="P34" s="746">
        <f t="shared" si="44"/>
        <v>259431.05</v>
      </c>
      <c r="Q34" s="746">
        <f t="shared" si="44"/>
        <v>264022.75</v>
      </c>
      <c r="R34" s="746">
        <f t="shared" si="44"/>
        <v>270910.3</v>
      </c>
      <c r="S34" s="746">
        <f t="shared" si="44"/>
        <v>275502</v>
      </c>
      <c r="T34" s="746">
        <f t="shared" si="44"/>
        <v>282389.55</v>
      </c>
      <c r="U34" s="746">
        <f t="shared" si="44"/>
        <v>286981.25</v>
      </c>
      <c r="V34" s="746">
        <f t="shared" si="44"/>
        <v>293868.79999999999</v>
      </c>
      <c r="W34" s="746">
        <f t="shared" si="44"/>
        <v>298460.5</v>
      </c>
      <c r="X34" s="746">
        <f t="shared" si="44"/>
        <v>305348.05</v>
      </c>
      <c r="Y34" s="746">
        <f t="shared" si="44"/>
        <v>309939.75</v>
      </c>
      <c r="Z34" s="746">
        <f t="shared" si="44"/>
        <v>314531.45</v>
      </c>
      <c r="AA34" s="746">
        <f t="shared" si="44"/>
        <v>321419</v>
      </c>
      <c r="AB34" s="746">
        <f t="shared" si="44"/>
        <v>328306.55</v>
      </c>
      <c r="AC34" s="746">
        <f t="shared" si="44"/>
        <v>332898.25</v>
      </c>
      <c r="AD34" s="746">
        <f t="shared" si="44"/>
        <v>339785.8</v>
      </c>
      <c r="AE34" s="746">
        <f t="shared" si="44"/>
        <v>346673.35</v>
      </c>
      <c r="AF34" s="746">
        <f t="shared" si="44"/>
        <v>353560.9</v>
      </c>
      <c r="AG34" s="746">
        <f t="shared" si="44"/>
        <v>360448.45</v>
      </c>
      <c r="AH34" s="746">
        <f t="shared" si="44"/>
        <v>369631.85000000003</v>
      </c>
      <c r="AI34" s="746">
        <f t="shared" si="44"/>
        <v>376519.39999999997</v>
      </c>
    </row>
    <row r="35" spans="1:35" s="266" customFormat="1" ht="12.75" x14ac:dyDescent="0.2">
      <c r="A35" s="213" t="s">
        <v>92</v>
      </c>
      <c r="B35" s="745">
        <f>B50*B59</f>
        <v>43750.33600000001</v>
      </c>
      <c r="C35" s="745">
        <f t="shared" ref="C35:AI35" si="45">C50*C59</f>
        <v>36328.404000000002</v>
      </c>
      <c r="D35" s="745">
        <f t="shared" si="45"/>
        <v>35547.148000000001</v>
      </c>
      <c r="E35" s="745">
        <f t="shared" si="45"/>
        <v>35937.776000000005</v>
      </c>
      <c r="F35" s="745">
        <f t="shared" si="45"/>
        <v>36719.031999999999</v>
      </c>
      <c r="G35" s="745">
        <f t="shared" si="45"/>
        <v>37500.288</v>
      </c>
      <c r="H35" s="745">
        <f t="shared" si="45"/>
        <v>37890.916000000005</v>
      </c>
      <c r="I35" s="745">
        <f t="shared" si="45"/>
        <v>38672.172000000006</v>
      </c>
      <c r="J35" s="745">
        <f t="shared" si="45"/>
        <v>39453.428</v>
      </c>
      <c r="K35" s="745">
        <f t="shared" si="45"/>
        <v>39844.056000000004</v>
      </c>
      <c r="L35" s="745">
        <f t="shared" si="45"/>
        <v>40625.312000000005</v>
      </c>
      <c r="M35" s="745">
        <f t="shared" si="45"/>
        <v>41406.568000000007</v>
      </c>
      <c r="N35" s="745">
        <f t="shared" si="45"/>
        <v>42187.824000000008</v>
      </c>
      <c r="O35" s="745">
        <f t="shared" si="45"/>
        <v>42969.080000000009</v>
      </c>
      <c r="P35" s="745">
        <f t="shared" si="45"/>
        <v>44140.964</v>
      </c>
      <c r="Q35" s="745">
        <f t="shared" si="45"/>
        <v>44922.22</v>
      </c>
      <c r="R35" s="745">
        <f t="shared" si="45"/>
        <v>46094.103999999999</v>
      </c>
      <c r="S35" s="745">
        <f t="shared" si="45"/>
        <v>46875.360000000001</v>
      </c>
      <c r="T35" s="745">
        <f t="shared" si="45"/>
        <v>48047.244000000006</v>
      </c>
      <c r="U35" s="745">
        <f t="shared" si="45"/>
        <v>48828.5</v>
      </c>
      <c r="V35" s="745">
        <f t="shared" si="45"/>
        <v>50000.384000000005</v>
      </c>
      <c r="W35" s="745">
        <f t="shared" si="45"/>
        <v>50781.640000000007</v>
      </c>
      <c r="X35" s="745">
        <f t="shared" si="45"/>
        <v>51953.524000000005</v>
      </c>
      <c r="Y35" s="745">
        <f t="shared" si="45"/>
        <v>52734.780000000006</v>
      </c>
      <c r="Z35" s="745">
        <f t="shared" si="45"/>
        <v>53516.036000000007</v>
      </c>
      <c r="AA35" s="745">
        <f t="shared" si="45"/>
        <v>54687.92</v>
      </c>
      <c r="AB35" s="745">
        <f t="shared" si="45"/>
        <v>55859.804000000004</v>
      </c>
      <c r="AC35" s="745">
        <f t="shared" si="45"/>
        <v>56641.060000000005</v>
      </c>
      <c r="AD35" s="745">
        <f t="shared" si="45"/>
        <v>57812.944000000003</v>
      </c>
      <c r="AE35" s="745">
        <f t="shared" si="45"/>
        <v>58984.828000000001</v>
      </c>
      <c r="AF35" s="745">
        <f t="shared" si="45"/>
        <v>60156.712000000007</v>
      </c>
      <c r="AG35" s="745">
        <f t="shared" si="45"/>
        <v>61328.596000000005</v>
      </c>
      <c r="AH35" s="745">
        <f t="shared" si="45"/>
        <v>62891.108000000007</v>
      </c>
      <c r="AI35" s="745">
        <f t="shared" si="45"/>
        <v>64062.991999999998</v>
      </c>
    </row>
    <row r="36" spans="1:35" s="266" customFormat="1" ht="12.75" x14ac:dyDescent="0.2">
      <c r="A36" s="213" t="s">
        <v>93</v>
      </c>
      <c r="B36" s="745">
        <f>B51*B$59</f>
        <v>58408.000000000007</v>
      </c>
      <c r="C36" s="745">
        <f t="shared" ref="C36:AI36" si="46">C51*C$59</f>
        <v>48499.5</v>
      </c>
      <c r="D36" s="746">
        <f t="shared" si="46"/>
        <v>47456.5</v>
      </c>
      <c r="E36" s="746">
        <f t="shared" si="46"/>
        <v>47978</v>
      </c>
      <c r="F36" s="746">
        <f t="shared" si="46"/>
        <v>49021</v>
      </c>
      <c r="G36" s="746">
        <f t="shared" si="46"/>
        <v>50064</v>
      </c>
      <c r="H36" s="746">
        <f t="shared" si="46"/>
        <v>50585.5</v>
      </c>
      <c r="I36" s="746">
        <f t="shared" si="46"/>
        <v>51628.5</v>
      </c>
      <c r="J36" s="746">
        <f t="shared" si="46"/>
        <v>52671.5</v>
      </c>
      <c r="K36" s="746">
        <f t="shared" si="46"/>
        <v>53193</v>
      </c>
      <c r="L36" s="746">
        <f t="shared" si="46"/>
        <v>54236</v>
      </c>
      <c r="M36" s="746">
        <f t="shared" si="46"/>
        <v>55279</v>
      </c>
      <c r="N36" s="746">
        <f t="shared" si="46"/>
        <v>56322.000000000007</v>
      </c>
      <c r="O36" s="746">
        <f t="shared" si="46"/>
        <v>57365.000000000007</v>
      </c>
      <c r="P36" s="746">
        <f t="shared" si="46"/>
        <v>58929.499999999993</v>
      </c>
      <c r="Q36" s="746">
        <f t="shared" si="46"/>
        <v>59972.499999999993</v>
      </c>
      <c r="R36" s="746">
        <f t="shared" si="46"/>
        <v>61537</v>
      </c>
      <c r="S36" s="746">
        <f t="shared" si="46"/>
        <v>62580</v>
      </c>
      <c r="T36" s="746">
        <f t="shared" si="46"/>
        <v>64144.5</v>
      </c>
      <c r="U36" s="746">
        <f t="shared" si="46"/>
        <v>65187.5</v>
      </c>
      <c r="V36" s="746">
        <f t="shared" si="46"/>
        <v>66752</v>
      </c>
      <c r="W36" s="746">
        <f t="shared" si="46"/>
        <v>67795</v>
      </c>
      <c r="X36" s="746">
        <f t="shared" si="46"/>
        <v>69359.5</v>
      </c>
      <c r="Y36" s="746">
        <f t="shared" si="46"/>
        <v>70402.5</v>
      </c>
      <c r="Z36" s="746">
        <f t="shared" si="46"/>
        <v>71445.5</v>
      </c>
      <c r="AA36" s="746">
        <f t="shared" si="46"/>
        <v>73010</v>
      </c>
      <c r="AB36" s="746">
        <f t="shared" si="46"/>
        <v>74574.5</v>
      </c>
      <c r="AC36" s="746">
        <f t="shared" si="46"/>
        <v>75617.5</v>
      </c>
      <c r="AD36" s="746">
        <f t="shared" si="46"/>
        <v>77182</v>
      </c>
      <c r="AE36" s="746">
        <f t="shared" si="46"/>
        <v>78746.5</v>
      </c>
      <c r="AF36" s="746">
        <f t="shared" si="46"/>
        <v>80311</v>
      </c>
      <c r="AG36" s="746">
        <f t="shared" si="46"/>
        <v>81875.5</v>
      </c>
      <c r="AH36" s="746">
        <f t="shared" si="46"/>
        <v>83961.5</v>
      </c>
      <c r="AI36" s="746">
        <f t="shared" si="46"/>
        <v>85526</v>
      </c>
    </row>
    <row r="37" spans="1:35" s="260" customFormat="1" ht="12.75" x14ac:dyDescent="0.2">
      <c r="A37" s="269" t="s">
        <v>94</v>
      </c>
      <c r="B37" s="711">
        <f t="shared" ref="B37:AG37" si="47">SUM(B34:B36)</f>
        <v>356513.69600000005</v>
      </c>
      <c r="C37" s="711">
        <f t="shared" si="47"/>
        <v>296033.69400000002</v>
      </c>
      <c r="D37" s="711">
        <f t="shared" si="47"/>
        <v>289667.37800000003</v>
      </c>
      <c r="E37" s="711">
        <f t="shared" si="47"/>
        <v>295133.97600000002</v>
      </c>
      <c r="F37" s="711">
        <f t="shared" si="47"/>
        <v>301549.93200000003</v>
      </c>
      <c r="G37" s="711">
        <f t="shared" si="47"/>
        <v>307965.88800000004</v>
      </c>
      <c r="H37" s="711">
        <f t="shared" si="47"/>
        <v>311173.86599999998</v>
      </c>
      <c r="I37" s="711">
        <f t="shared" si="47"/>
        <v>317589.82199999999</v>
      </c>
      <c r="J37" s="711">
        <f t="shared" si="47"/>
        <v>324005.77799999999</v>
      </c>
      <c r="K37" s="711">
        <f t="shared" si="47"/>
        <v>327213.75599999999</v>
      </c>
      <c r="L37" s="711">
        <f t="shared" si="47"/>
        <v>333629.712</v>
      </c>
      <c r="M37" s="711">
        <f t="shared" si="47"/>
        <v>340045.66800000001</v>
      </c>
      <c r="N37" s="711">
        <f t="shared" si="47"/>
        <v>346461.62400000001</v>
      </c>
      <c r="O37" s="711">
        <f t="shared" si="47"/>
        <v>352877.58</v>
      </c>
      <c r="P37" s="711">
        <f t="shared" si="47"/>
        <v>362501.51399999997</v>
      </c>
      <c r="Q37" s="711">
        <f t="shared" si="47"/>
        <v>368917.47</v>
      </c>
      <c r="R37" s="711">
        <f t="shared" si="47"/>
        <v>378541.40399999998</v>
      </c>
      <c r="S37" s="711">
        <f t="shared" si="47"/>
        <v>384957.36</v>
      </c>
      <c r="T37" s="711">
        <f t="shared" si="47"/>
        <v>394581.29399999999</v>
      </c>
      <c r="U37" s="711">
        <f t="shared" si="47"/>
        <v>400997.25</v>
      </c>
      <c r="V37" s="711">
        <f t="shared" si="47"/>
        <v>410621.18400000001</v>
      </c>
      <c r="W37" s="711">
        <f t="shared" si="47"/>
        <v>417037.14</v>
      </c>
      <c r="X37" s="711">
        <f t="shared" si="47"/>
        <v>426661.07400000002</v>
      </c>
      <c r="Y37" s="711">
        <f t="shared" si="47"/>
        <v>433077.03</v>
      </c>
      <c r="Z37" s="711">
        <f t="shared" si="47"/>
        <v>439492.98600000003</v>
      </c>
      <c r="AA37" s="711">
        <f t="shared" si="47"/>
        <v>449116.92</v>
      </c>
      <c r="AB37" s="711">
        <f t="shared" si="47"/>
        <v>458740.85399999999</v>
      </c>
      <c r="AC37" s="711">
        <f t="shared" si="47"/>
        <v>465156.81</v>
      </c>
      <c r="AD37" s="711">
        <f t="shared" si="47"/>
        <v>474780.74400000001</v>
      </c>
      <c r="AE37" s="711">
        <f t="shared" si="47"/>
        <v>484404.67799999996</v>
      </c>
      <c r="AF37" s="711">
        <f t="shared" si="47"/>
        <v>494028.61200000002</v>
      </c>
      <c r="AG37" s="711">
        <f t="shared" si="47"/>
        <v>503652.54600000003</v>
      </c>
      <c r="AH37" s="711">
        <f>SUM(AH34:AH36)</f>
        <v>516484.45800000004</v>
      </c>
      <c r="AI37" s="711">
        <f>SUM(AI34:AI36)</f>
        <v>526108.39199999999</v>
      </c>
    </row>
    <row r="38" spans="1:35" s="260" customFormat="1" ht="25.5" x14ac:dyDescent="0.2">
      <c r="A38" s="178" t="s">
        <v>95</v>
      </c>
      <c r="B38" s="711">
        <f t="shared" ref="B38:AG38" si="48">SUM(B33,B37)</f>
        <v>681344.79600000009</v>
      </c>
      <c r="C38" s="711">
        <f t="shared" si="48"/>
        <v>620864.79399999999</v>
      </c>
      <c r="D38" s="711">
        <f t="shared" si="48"/>
        <v>555752.42800000007</v>
      </c>
      <c r="E38" s="711">
        <f t="shared" si="48"/>
        <v>566667.576</v>
      </c>
      <c r="F38" s="711">
        <f t="shared" si="48"/>
        <v>580045.93200000003</v>
      </c>
      <c r="G38" s="711">
        <f t="shared" si="48"/>
        <v>589943.08799999999</v>
      </c>
      <c r="H38" s="711">
        <f t="shared" si="48"/>
        <v>600113.46600000001</v>
      </c>
      <c r="I38" s="711">
        <f t="shared" si="48"/>
        <v>610010.62199999997</v>
      </c>
      <c r="J38" s="711">
        <f t="shared" si="48"/>
        <v>623388.978</v>
      </c>
      <c r="K38" s="711">
        <f t="shared" si="48"/>
        <v>630078.15599999996</v>
      </c>
      <c r="L38" s="711">
        <f t="shared" si="48"/>
        <v>643456.5120000001</v>
      </c>
      <c r="M38" s="711">
        <f t="shared" si="48"/>
        <v>653353.66800000006</v>
      </c>
      <c r="N38" s="711">
        <f t="shared" si="48"/>
        <v>666732.02399999998</v>
      </c>
      <c r="O38" s="711">
        <f t="shared" si="48"/>
        <v>680110.38000000012</v>
      </c>
      <c r="P38" s="711">
        <f t="shared" si="48"/>
        <v>696696.71399999992</v>
      </c>
      <c r="Q38" s="711">
        <f t="shared" si="48"/>
        <v>710075.07</v>
      </c>
      <c r="R38" s="711">
        <f t="shared" si="48"/>
        <v>730142.60399999993</v>
      </c>
      <c r="S38" s="711">
        <f t="shared" si="48"/>
        <v>743520.96</v>
      </c>
      <c r="T38" s="711">
        <f t="shared" si="48"/>
        <v>760107.29399999999</v>
      </c>
      <c r="U38" s="711">
        <f t="shared" si="48"/>
        <v>773485.65</v>
      </c>
      <c r="V38" s="711">
        <f t="shared" si="48"/>
        <v>790071.98400000005</v>
      </c>
      <c r="W38" s="711">
        <f t="shared" si="48"/>
        <v>803450.34</v>
      </c>
      <c r="X38" s="711">
        <f t="shared" si="48"/>
        <v>820036.674</v>
      </c>
      <c r="Y38" s="711">
        <f t="shared" si="48"/>
        <v>836896.23</v>
      </c>
      <c r="Z38" s="711">
        <f t="shared" si="48"/>
        <v>850274.58600000001</v>
      </c>
      <c r="AA38" s="711">
        <f t="shared" si="48"/>
        <v>866860.91999999993</v>
      </c>
      <c r="AB38" s="711">
        <f t="shared" si="48"/>
        <v>883447.25399999996</v>
      </c>
      <c r="AC38" s="711">
        <f t="shared" si="48"/>
        <v>900306.81</v>
      </c>
      <c r="AD38" s="711">
        <f t="shared" si="48"/>
        <v>916893.14400000009</v>
      </c>
      <c r="AE38" s="711">
        <f t="shared" si="48"/>
        <v>933479.478</v>
      </c>
      <c r="AF38" s="711">
        <f t="shared" si="48"/>
        <v>953547.0120000001</v>
      </c>
      <c r="AG38" s="711">
        <f t="shared" si="48"/>
        <v>973614.54600000009</v>
      </c>
      <c r="AH38" s="711">
        <f>SUM(AH33,AH37)</f>
        <v>996890.05799999996</v>
      </c>
      <c r="AI38" s="711">
        <f>SUM(AI33,AI37)</f>
        <v>1016957.5919999999</v>
      </c>
    </row>
    <row r="39" spans="1:35" s="260" customFormat="1" ht="25.5" x14ac:dyDescent="0.2">
      <c r="A39" s="178" t="s">
        <v>96</v>
      </c>
      <c r="B39" s="711">
        <f t="shared" ref="B39:AG39" si="49">B38-B29</f>
        <v>203949.89600000007</v>
      </c>
      <c r="C39" s="711">
        <f t="shared" si="49"/>
        <v>129148.05070000002</v>
      </c>
      <c r="D39" s="711">
        <f t="shared" si="49"/>
        <v>53006.602500000037</v>
      </c>
      <c r="E39" s="711">
        <f t="shared" si="49"/>
        <v>52892.65830000001</v>
      </c>
      <c r="F39" s="711">
        <f t="shared" si="49"/>
        <v>56723.122100000037</v>
      </c>
      <c r="G39" s="711">
        <f t="shared" si="49"/>
        <v>57072.375899999985</v>
      </c>
      <c r="H39" s="711">
        <f t="shared" si="49"/>
        <v>57694.861700000009</v>
      </c>
      <c r="I39" s="711">
        <f t="shared" si="49"/>
        <v>58044.115500000073</v>
      </c>
      <c r="J39" s="711">
        <f t="shared" si="49"/>
        <v>61874.56930000009</v>
      </c>
      <c r="K39" s="711">
        <f t="shared" si="49"/>
        <v>59015.855099999928</v>
      </c>
      <c r="L39" s="711">
        <f t="shared" si="49"/>
        <v>61365.128900000127</v>
      </c>
      <c r="M39" s="711">
        <f t="shared" si="49"/>
        <v>60233.192700000131</v>
      </c>
      <c r="N39" s="711">
        <f t="shared" si="49"/>
        <v>62582.456499999971</v>
      </c>
      <c r="O39" s="711">
        <f t="shared" si="49"/>
        <v>61638.96920000005</v>
      </c>
      <c r="P39" s="711">
        <f t="shared" si="49"/>
        <v>63903.4598999999</v>
      </c>
      <c r="Q39" s="711">
        <f t="shared" si="49"/>
        <v>62959.962599999853</v>
      </c>
      <c r="R39" s="711">
        <f t="shared" si="49"/>
        <v>68705.653300000005</v>
      </c>
      <c r="S39" s="711">
        <f t="shared" si="49"/>
        <v>67762.165999999968</v>
      </c>
      <c r="T39" s="711">
        <f t="shared" si="49"/>
        <v>70026.646700000041</v>
      </c>
      <c r="U39" s="711">
        <f t="shared" si="49"/>
        <v>69083.159400000004</v>
      </c>
      <c r="V39" s="711">
        <f t="shared" si="49"/>
        <v>71347.650100000086</v>
      </c>
      <c r="W39" s="711">
        <f t="shared" si="49"/>
        <v>70404.152799999923</v>
      </c>
      <c r="X39" s="711">
        <f t="shared" si="49"/>
        <v>72668.643499999889</v>
      </c>
      <c r="Y39" s="711">
        <f t="shared" si="49"/>
        <v>75206.356199999922</v>
      </c>
      <c r="Z39" s="711">
        <f t="shared" si="49"/>
        <v>74262.858899999992</v>
      </c>
      <c r="AA39" s="711">
        <f t="shared" si="49"/>
        <v>76527.349599999841</v>
      </c>
      <c r="AB39" s="711">
        <f t="shared" si="49"/>
        <v>77310.640300000086</v>
      </c>
      <c r="AC39" s="711">
        <f t="shared" si="49"/>
        <v>78367.173000000184</v>
      </c>
      <c r="AD39" s="711">
        <f t="shared" si="49"/>
        <v>79150.47370000009</v>
      </c>
      <c r="AE39" s="711">
        <f t="shared" si="49"/>
        <v>79933.764399999869</v>
      </c>
      <c r="AF39" s="711">
        <f t="shared" si="49"/>
        <v>80905.503999999957</v>
      </c>
      <c r="AG39" s="711">
        <f t="shared" si="49"/>
        <v>81877.243599999929</v>
      </c>
      <c r="AH39" s="711">
        <f>AH38-AH29</f>
        <v>86056.96120000002</v>
      </c>
      <c r="AI39" s="711">
        <f>AI38-AI29</f>
        <v>87028.690799999982</v>
      </c>
    </row>
    <row r="40" spans="1:35" s="260" customFormat="1" ht="12.75" x14ac:dyDescent="0.2">
      <c r="A40" s="163"/>
      <c r="B40" s="749"/>
      <c r="C40" s="749"/>
      <c r="D40" s="749"/>
      <c r="E40" s="749"/>
      <c r="F40" s="749"/>
      <c r="G40" s="749"/>
      <c r="H40" s="749"/>
      <c r="I40" s="749"/>
      <c r="J40" s="749"/>
      <c r="K40" s="749"/>
      <c r="L40" s="749"/>
      <c r="M40" s="749"/>
      <c r="N40" s="749"/>
      <c r="O40" s="749"/>
      <c r="P40" s="749"/>
      <c r="Q40" s="749"/>
      <c r="R40" s="749"/>
      <c r="S40" s="749"/>
      <c r="T40" s="749"/>
      <c r="U40" s="749"/>
      <c r="V40" s="749"/>
      <c r="W40" s="749"/>
      <c r="X40" s="749"/>
      <c r="Y40" s="749"/>
      <c r="Z40" s="749"/>
      <c r="AA40" s="749"/>
      <c r="AB40" s="749"/>
      <c r="AC40" s="749"/>
      <c r="AD40" s="749"/>
      <c r="AE40" s="749"/>
      <c r="AF40" s="749"/>
      <c r="AG40" s="749"/>
      <c r="AH40" s="749"/>
      <c r="AI40" s="749"/>
    </row>
    <row r="41" spans="1:35" s="260" customFormat="1" ht="12.75" x14ac:dyDescent="0.2">
      <c r="A41" s="163" t="s">
        <v>365</v>
      </c>
      <c r="B41" s="750"/>
      <c r="C41" s="749"/>
      <c r="D41" s="749"/>
      <c r="E41" s="749"/>
      <c r="F41" s="749"/>
      <c r="G41" s="749"/>
      <c r="H41" s="749"/>
      <c r="I41" s="749"/>
      <c r="J41" s="749"/>
      <c r="K41" s="749"/>
      <c r="L41" s="749"/>
      <c r="M41" s="749"/>
      <c r="N41" s="749"/>
      <c r="O41" s="749"/>
      <c r="P41" s="749"/>
      <c r="Q41" s="749"/>
      <c r="R41" s="749"/>
      <c r="S41" s="749"/>
      <c r="T41" s="749"/>
      <c r="U41" s="749"/>
      <c r="V41" s="749"/>
      <c r="W41" s="749"/>
      <c r="X41" s="749"/>
      <c r="Y41" s="749"/>
      <c r="Z41" s="749"/>
      <c r="AA41" s="749"/>
      <c r="AB41" s="749"/>
      <c r="AC41" s="749"/>
      <c r="AD41" s="749"/>
      <c r="AE41" s="749"/>
      <c r="AF41" s="749"/>
      <c r="AG41" s="749"/>
      <c r="AH41" s="749"/>
      <c r="AI41" s="749"/>
    </row>
    <row r="42" spans="1:35" s="260" customFormat="1" ht="12.75" outlineLevel="1" x14ac:dyDescent="0.2">
      <c r="A42" s="34" t="s">
        <v>379</v>
      </c>
      <c r="B42" s="751">
        <f>'Datu ievade'!$B$138</f>
        <v>7.0000000000000007E-2</v>
      </c>
      <c r="C42" s="749"/>
      <c r="D42" s="749"/>
      <c r="E42" s="749"/>
      <c r="F42" s="749"/>
      <c r="G42" s="749"/>
      <c r="H42" s="749"/>
      <c r="I42" s="749"/>
      <c r="J42" s="749"/>
      <c r="K42" s="749"/>
      <c r="L42" s="749"/>
      <c r="M42" s="749"/>
      <c r="N42" s="749"/>
      <c r="O42" s="749"/>
      <c r="P42" s="749"/>
      <c r="Q42" s="749"/>
      <c r="R42" s="749"/>
      <c r="S42" s="749"/>
      <c r="T42" s="749"/>
      <c r="U42" s="749"/>
      <c r="V42" s="749"/>
      <c r="W42" s="749"/>
      <c r="X42" s="749"/>
      <c r="Y42" s="749"/>
      <c r="Z42" s="749"/>
      <c r="AA42" s="749"/>
      <c r="AB42" s="749"/>
      <c r="AC42" s="749"/>
      <c r="AD42" s="749"/>
      <c r="AE42" s="749"/>
      <c r="AF42" s="749"/>
      <c r="AG42" s="749"/>
      <c r="AH42" s="749"/>
      <c r="AI42" s="749"/>
    </row>
    <row r="43" spans="1:35" s="260" customFormat="1" ht="12.75" outlineLevel="1" x14ac:dyDescent="0.2">
      <c r="A43" s="34" t="s">
        <v>384</v>
      </c>
      <c r="B43" s="788">
        <f>SUM(Aprekini!B19:B22,Aprekini!B38,Aprekini!B44,Aprekini!B50)</f>
        <v>7710</v>
      </c>
      <c r="C43" s="788">
        <f>SUM(Aprekini!C19:C22,Aprekini!C38,Aprekini!C44,Aprekini!C50)</f>
        <v>7710</v>
      </c>
      <c r="D43" s="788">
        <f>SUM(Aprekini!D19:D22,Aprekini!D38,Aprekini!D44,Aprekini!D50)</f>
        <v>5996</v>
      </c>
      <c r="E43" s="788">
        <f>SUM(Aprekini!E19:E22,Aprekini!E38,Aprekini!E44,Aprekini!E50)</f>
        <v>5710</v>
      </c>
      <c r="F43" s="788">
        <f>SUM(Aprekini!F19:F22,Aprekini!F38,Aprekini!F44,Aprekini!F50)</f>
        <v>5710</v>
      </c>
      <c r="G43" s="788">
        <f>SUM(Aprekini!G19:G22,Aprekini!G38,Aprekini!G44,Aprekini!G50)</f>
        <v>5710</v>
      </c>
      <c r="H43" s="788">
        <f>SUM(Aprekini!H19:H22,Aprekini!H38,Aprekini!H44,Aprekini!H50)</f>
        <v>5710</v>
      </c>
      <c r="I43" s="788">
        <f>SUM(Aprekini!I19:I22,Aprekini!I38,Aprekini!I44,Aprekini!I50)</f>
        <v>5710</v>
      </c>
      <c r="J43" s="788">
        <f>SUM(Aprekini!J19:J22,Aprekini!J38,Aprekini!J44,Aprekini!J50)</f>
        <v>5710</v>
      </c>
      <c r="K43" s="788">
        <f>SUM(Aprekini!K19:K22,Aprekini!K38,Aprekini!K44,Aprekini!K50)</f>
        <v>5710</v>
      </c>
      <c r="L43" s="788">
        <f>SUM(Aprekini!L19:L22,Aprekini!L38,Aprekini!L44,Aprekini!L50)</f>
        <v>5710</v>
      </c>
      <c r="M43" s="788">
        <f>SUM(Aprekini!M19:M22,Aprekini!M38,Aprekini!M44,Aprekini!M50)</f>
        <v>5710</v>
      </c>
      <c r="N43" s="788">
        <f>SUM(Aprekini!N19:N22,Aprekini!N38,Aprekini!N44,Aprekini!N50)</f>
        <v>5710</v>
      </c>
      <c r="O43" s="788">
        <f>SUM(Aprekini!O19:O22,Aprekini!O38,Aprekini!O44,Aprekini!O50)</f>
        <v>5710</v>
      </c>
      <c r="P43" s="788">
        <f>SUM(Aprekini!P19:P22,Aprekini!P38,Aprekini!P44,Aprekini!P50)</f>
        <v>5710</v>
      </c>
      <c r="Q43" s="788">
        <f>SUM(Aprekini!Q19:Q22,Aprekini!Q38,Aprekini!Q44,Aprekini!Q50)</f>
        <v>5710</v>
      </c>
      <c r="R43" s="788">
        <f>SUM(Aprekini!R19:R22,Aprekini!R38,Aprekini!R44,Aprekini!R50)</f>
        <v>5710</v>
      </c>
      <c r="S43" s="788">
        <f>SUM(Aprekini!S19:S22,Aprekini!S38,Aprekini!S44,Aprekini!S50)</f>
        <v>5710</v>
      </c>
      <c r="T43" s="788">
        <f>SUM(Aprekini!T19:T22,Aprekini!T38,Aprekini!T44,Aprekini!T50)</f>
        <v>5710</v>
      </c>
      <c r="U43" s="788">
        <f>SUM(Aprekini!U19:U22,Aprekini!U38,Aprekini!U44,Aprekini!U50)</f>
        <v>5710</v>
      </c>
      <c r="V43" s="788">
        <f>SUM(Aprekini!V19:V22,Aprekini!V38,Aprekini!V44,Aprekini!V50)</f>
        <v>5710</v>
      </c>
      <c r="W43" s="788">
        <f>SUM(Aprekini!W19:W22,Aprekini!W38,Aprekini!W44,Aprekini!W50)</f>
        <v>5710</v>
      </c>
      <c r="X43" s="788">
        <f>SUM(Aprekini!X19:X22,Aprekini!X38,Aprekini!X44,Aprekini!X50)</f>
        <v>5710</v>
      </c>
      <c r="Y43" s="788">
        <f>SUM(Aprekini!Y19:Y22,Aprekini!Y38,Aprekini!Y44,Aprekini!Y50)</f>
        <v>5710</v>
      </c>
      <c r="Z43" s="788">
        <f>SUM(Aprekini!Z19:Z22,Aprekini!Z38,Aprekini!Z44,Aprekini!Z50)</f>
        <v>5710</v>
      </c>
      <c r="AA43" s="788">
        <f>SUM(Aprekini!AA19:AA22,Aprekini!AA38,Aprekini!AA44,Aprekini!AA50)</f>
        <v>5710</v>
      </c>
      <c r="AB43" s="788">
        <f>SUM(Aprekini!AB19:AB22,Aprekini!AB38,Aprekini!AB44,Aprekini!AB50)</f>
        <v>5710</v>
      </c>
      <c r="AC43" s="788">
        <f>SUM(Aprekini!AC19:AC22,Aprekini!AC38,Aprekini!AC44,Aprekini!AC50)</f>
        <v>5710</v>
      </c>
      <c r="AD43" s="788">
        <f>SUM(Aprekini!AD19:AD22,Aprekini!AD38,Aprekini!AD44,Aprekini!AD50)</f>
        <v>5710</v>
      </c>
      <c r="AE43" s="788">
        <f>SUM(Aprekini!AE19:AE22,Aprekini!AE38,Aprekini!AE44,Aprekini!AE50)</f>
        <v>5710</v>
      </c>
      <c r="AF43" s="788">
        <f>SUM(Aprekini!AF19:AF22,Aprekini!AF38,Aprekini!AF44,Aprekini!AF50)</f>
        <v>5710</v>
      </c>
      <c r="AG43" s="788">
        <f>SUM(Aprekini!AG19:AG22,Aprekini!AG38,Aprekini!AG44,Aprekini!AG50)</f>
        <v>5710</v>
      </c>
      <c r="AH43" s="788">
        <f>SUM(Aprekini!AH19:AH22,Aprekini!AH38,Aprekini!AH44,Aprekini!AH50)</f>
        <v>5710</v>
      </c>
      <c r="AI43" s="788">
        <f>SUM(Aprekini!AI19:AI22,Aprekini!AI38,Aprekini!AI44,Aprekini!AI50)</f>
        <v>5710</v>
      </c>
    </row>
    <row r="44" spans="1:35" s="260" customFormat="1" ht="12.75" outlineLevel="1" x14ac:dyDescent="0.2">
      <c r="A44" s="39" t="s">
        <v>412</v>
      </c>
      <c r="B44" s="752">
        <f>'Datu ievade'!B80*'Datu ievade'!B81/1000*365</f>
        <v>252945</v>
      </c>
      <c r="C44" s="752">
        <f>('Datu ievade'!C80-SUM('Datu ievade'!B84:C84))*'Datu ievade'!C81/1000*365</f>
        <v>252945</v>
      </c>
      <c r="D44" s="752">
        <f>('Datu ievade'!D80-SUM('Datu ievade'!B84:D84))*'Datu ievade'!D81/1000*365</f>
        <v>252945</v>
      </c>
      <c r="E44" s="752">
        <f>('Datu ievade'!E80-SUM('Datu ievade'!$B$84:E84))*'Datu ievade'!E81/1000*365</f>
        <v>255500</v>
      </c>
      <c r="F44" s="752">
        <f>('Datu ievade'!F80-SUM('Datu ievade'!$B$84:F84))*'Datu ievade'!F81/1000*365</f>
        <v>255500</v>
      </c>
      <c r="G44" s="752">
        <f>('Datu ievade'!G80-SUM('Datu ievade'!$B$84:G84))*'Datu ievade'!G81/1000*365</f>
        <v>255500</v>
      </c>
      <c r="H44" s="752">
        <f>('Datu ievade'!H80-SUM('Datu ievade'!$B$84:H84))*'Datu ievade'!H81/1000*365</f>
        <v>255500</v>
      </c>
      <c r="I44" s="752">
        <f>H44</f>
        <v>255500</v>
      </c>
      <c r="J44" s="752">
        <f>I44</f>
        <v>255500</v>
      </c>
      <c r="K44" s="752">
        <f t="shared" ref="K44:AI46" si="50">J44</f>
        <v>255500</v>
      </c>
      <c r="L44" s="752">
        <f t="shared" si="50"/>
        <v>255500</v>
      </c>
      <c r="M44" s="752">
        <f t="shared" si="50"/>
        <v>255500</v>
      </c>
      <c r="N44" s="752">
        <f t="shared" si="50"/>
        <v>255500</v>
      </c>
      <c r="O44" s="752">
        <f t="shared" si="50"/>
        <v>255500</v>
      </c>
      <c r="P44" s="752">
        <f t="shared" si="50"/>
        <v>255500</v>
      </c>
      <c r="Q44" s="752">
        <f t="shared" si="50"/>
        <v>255500</v>
      </c>
      <c r="R44" s="752">
        <f t="shared" si="50"/>
        <v>255500</v>
      </c>
      <c r="S44" s="752">
        <f t="shared" si="50"/>
        <v>255500</v>
      </c>
      <c r="T44" s="752">
        <f t="shared" si="50"/>
        <v>255500</v>
      </c>
      <c r="U44" s="752">
        <f t="shared" si="50"/>
        <v>255500</v>
      </c>
      <c r="V44" s="752">
        <f t="shared" si="50"/>
        <v>255500</v>
      </c>
      <c r="W44" s="752">
        <f t="shared" si="50"/>
        <v>255500</v>
      </c>
      <c r="X44" s="752">
        <f t="shared" si="50"/>
        <v>255500</v>
      </c>
      <c r="Y44" s="752">
        <f t="shared" si="50"/>
        <v>255500</v>
      </c>
      <c r="Z44" s="752">
        <f t="shared" si="50"/>
        <v>255500</v>
      </c>
      <c r="AA44" s="752">
        <f t="shared" si="50"/>
        <v>255500</v>
      </c>
      <c r="AB44" s="752">
        <f t="shared" si="50"/>
        <v>255500</v>
      </c>
      <c r="AC44" s="752">
        <f t="shared" si="50"/>
        <v>255500</v>
      </c>
      <c r="AD44" s="752">
        <f t="shared" si="50"/>
        <v>255500</v>
      </c>
      <c r="AE44" s="752">
        <f t="shared" si="50"/>
        <v>255500</v>
      </c>
      <c r="AF44" s="752">
        <f t="shared" si="50"/>
        <v>255500</v>
      </c>
      <c r="AG44" s="752">
        <f t="shared" si="50"/>
        <v>255500</v>
      </c>
      <c r="AH44" s="752">
        <f t="shared" si="50"/>
        <v>255500</v>
      </c>
      <c r="AI44" s="752">
        <f t="shared" si="50"/>
        <v>255500</v>
      </c>
    </row>
    <row r="45" spans="1:35" s="260" customFormat="1" ht="12.75" outlineLevel="1" x14ac:dyDescent="0.2">
      <c r="A45" s="39" t="s">
        <v>413</v>
      </c>
      <c r="B45" s="752">
        <f>'Datu ievade'!B82</f>
        <v>39860</v>
      </c>
      <c r="C45" s="752">
        <f>'Datu ievade'!C82</f>
        <v>39860</v>
      </c>
      <c r="D45" s="752">
        <f>'Datu ievade'!D82</f>
        <v>39860</v>
      </c>
      <c r="E45" s="752">
        <f>'Datu ievade'!E82</f>
        <v>39860</v>
      </c>
      <c r="F45" s="752">
        <f>'Datu ievade'!F82</f>
        <v>39860</v>
      </c>
      <c r="G45" s="752">
        <f>'Datu ievade'!G82</f>
        <v>39860</v>
      </c>
      <c r="H45" s="752">
        <f>'Datu ievade'!H82</f>
        <v>39860</v>
      </c>
      <c r="I45" s="752">
        <f>H45</f>
        <v>39860</v>
      </c>
      <c r="J45" s="752">
        <f t="shared" ref="J45" si="51">I45</f>
        <v>39860</v>
      </c>
      <c r="K45" s="752">
        <f t="shared" si="50"/>
        <v>39860</v>
      </c>
      <c r="L45" s="752">
        <f t="shared" si="50"/>
        <v>39860</v>
      </c>
      <c r="M45" s="752">
        <f t="shared" si="50"/>
        <v>39860</v>
      </c>
      <c r="N45" s="752">
        <f t="shared" si="50"/>
        <v>39860</v>
      </c>
      <c r="O45" s="752">
        <f t="shared" si="50"/>
        <v>39860</v>
      </c>
      <c r="P45" s="752">
        <f t="shared" si="50"/>
        <v>39860</v>
      </c>
      <c r="Q45" s="752">
        <f t="shared" si="50"/>
        <v>39860</v>
      </c>
      <c r="R45" s="752">
        <f t="shared" si="50"/>
        <v>39860</v>
      </c>
      <c r="S45" s="752">
        <f t="shared" si="50"/>
        <v>39860</v>
      </c>
      <c r="T45" s="752">
        <f t="shared" si="50"/>
        <v>39860</v>
      </c>
      <c r="U45" s="752">
        <f t="shared" si="50"/>
        <v>39860</v>
      </c>
      <c r="V45" s="752">
        <f t="shared" si="50"/>
        <v>39860</v>
      </c>
      <c r="W45" s="752">
        <f t="shared" si="50"/>
        <v>39860</v>
      </c>
      <c r="X45" s="752">
        <f t="shared" si="50"/>
        <v>39860</v>
      </c>
      <c r="Y45" s="752">
        <f t="shared" si="50"/>
        <v>39860</v>
      </c>
      <c r="Z45" s="752">
        <f t="shared" si="50"/>
        <v>39860</v>
      </c>
      <c r="AA45" s="752">
        <f t="shared" si="50"/>
        <v>39860</v>
      </c>
      <c r="AB45" s="752">
        <f t="shared" si="50"/>
        <v>39860</v>
      </c>
      <c r="AC45" s="752">
        <f t="shared" si="50"/>
        <v>39860</v>
      </c>
      <c r="AD45" s="752">
        <f t="shared" si="50"/>
        <v>39860</v>
      </c>
      <c r="AE45" s="752">
        <f t="shared" si="50"/>
        <v>39860</v>
      </c>
      <c r="AF45" s="752">
        <f t="shared" si="50"/>
        <v>39860</v>
      </c>
      <c r="AG45" s="752">
        <f t="shared" si="50"/>
        <v>39860</v>
      </c>
      <c r="AH45" s="752">
        <f t="shared" si="50"/>
        <v>39860</v>
      </c>
      <c r="AI45" s="752">
        <f t="shared" si="50"/>
        <v>39860</v>
      </c>
    </row>
    <row r="46" spans="1:35" s="260" customFormat="1" ht="12.75" outlineLevel="1" x14ac:dyDescent="0.2">
      <c r="A46" s="39" t="s">
        <v>414</v>
      </c>
      <c r="B46" s="752">
        <f>'Datu ievade'!B83</f>
        <v>52760</v>
      </c>
      <c r="C46" s="752">
        <f>'Datu ievade'!C83</f>
        <v>52760</v>
      </c>
      <c r="D46" s="752">
        <f>'Datu ievade'!D83</f>
        <v>52760</v>
      </c>
      <c r="E46" s="752">
        <f>'Datu ievade'!E83</f>
        <v>52760</v>
      </c>
      <c r="F46" s="752">
        <f>'Datu ievade'!F83</f>
        <v>52760</v>
      </c>
      <c r="G46" s="752">
        <f>'Datu ievade'!G83</f>
        <v>52760</v>
      </c>
      <c r="H46" s="752">
        <f>'Datu ievade'!H83</f>
        <v>52760</v>
      </c>
      <c r="I46" s="752">
        <f>H46</f>
        <v>52760</v>
      </c>
      <c r="J46" s="752">
        <f t="shared" ref="J46" si="52">I46</f>
        <v>52760</v>
      </c>
      <c r="K46" s="752">
        <f t="shared" si="50"/>
        <v>52760</v>
      </c>
      <c r="L46" s="752">
        <f t="shared" si="50"/>
        <v>52760</v>
      </c>
      <c r="M46" s="752">
        <f t="shared" si="50"/>
        <v>52760</v>
      </c>
      <c r="N46" s="752">
        <f t="shared" si="50"/>
        <v>52760</v>
      </c>
      <c r="O46" s="752">
        <f t="shared" si="50"/>
        <v>52760</v>
      </c>
      <c r="P46" s="752">
        <f t="shared" si="50"/>
        <v>52760</v>
      </c>
      <c r="Q46" s="752">
        <f t="shared" si="50"/>
        <v>52760</v>
      </c>
      <c r="R46" s="752">
        <f t="shared" si="50"/>
        <v>52760</v>
      </c>
      <c r="S46" s="752">
        <f t="shared" si="50"/>
        <v>52760</v>
      </c>
      <c r="T46" s="752">
        <f t="shared" si="50"/>
        <v>52760</v>
      </c>
      <c r="U46" s="752">
        <f t="shared" si="50"/>
        <v>52760</v>
      </c>
      <c r="V46" s="752">
        <f t="shared" si="50"/>
        <v>52760</v>
      </c>
      <c r="W46" s="752">
        <f t="shared" si="50"/>
        <v>52760</v>
      </c>
      <c r="X46" s="752">
        <f t="shared" si="50"/>
        <v>52760</v>
      </c>
      <c r="Y46" s="752">
        <f t="shared" si="50"/>
        <v>52760</v>
      </c>
      <c r="Z46" s="752">
        <f t="shared" si="50"/>
        <v>52760</v>
      </c>
      <c r="AA46" s="752">
        <f t="shared" si="50"/>
        <v>52760</v>
      </c>
      <c r="AB46" s="752">
        <f t="shared" si="50"/>
        <v>52760</v>
      </c>
      <c r="AC46" s="752">
        <f t="shared" si="50"/>
        <v>52760</v>
      </c>
      <c r="AD46" s="752">
        <f t="shared" si="50"/>
        <v>52760</v>
      </c>
      <c r="AE46" s="752">
        <f t="shared" si="50"/>
        <v>52760</v>
      </c>
      <c r="AF46" s="752">
        <f t="shared" si="50"/>
        <v>52760</v>
      </c>
      <c r="AG46" s="752">
        <f t="shared" si="50"/>
        <v>52760</v>
      </c>
      <c r="AH46" s="752">
        <f t="shared" si="50"/>
        <v>52760</v>
      </c>
      <c r="AI46" s="752">
        <f t="shared" si="50"/>
        <v>52760</v>
      </c>
    </row>
    <row r="47" spans="1:35" s="260" customFormat="1" ht="12.75" outlineLevel="1" x14ac:dyDescent="0.2">
      <c r="A47" s="34" t="s">
        <v>385</v>
      </c>
      <c r="B47" s="752">
        <f t="shared" ref="B47:AI47" si="53">SUM(B44:B46)</f>
        <v>345565</v>
      </c>
      <c r="C47" s="752">
        <f t="shared" si="53"/>
        <v>345565</v>
      </c>
      <c r="D47" s="752">
        <f t="shared" si="53"/>
        <v>345565</v>
      </c>
      <c r="E47" s="752">
        <f t="shared" si="53"/>
        <v>348120</v>
      </c>
      <c r="F47" s="752">
        <f t="shared" si="53"/>
        <v>348120</v>
      </c>
      <c r="G47" s="752">
        <f t="shared" si="53"/>
        <v>348120</v>
      </c>
      <c r="H47" s="752">
        <f t="shared" si="53"/>
        <v>348120</v>
      </c>
      <c r="I47" s="752">
        <f t="shared" si="53"/>
        <v>348120</v>
      </c>
      <c r="J47" s="752">
        <f t="shared" si="53"/>
        <v>348120</v>
      </c>
      <c r="K47" s="752">
        <f t="shared" si="53"/>
        <v>348120</v>
      </c>
      <c r="L47" s="752">
        <f t="shared" si="53"/>
        <v>348120</v>
      </c>
      <c r="M47" s="752">
        <f t="shared" si="53"/>
        <v>348120</v>
      </c>
      <c r="N47" s="752">
        <f t="shared" si="53"/>
        <v>348120</v>
      </c>
      <c r="O47" s="752">
        <f t="shared" si="53"/>
        <v>348120</v>
      </c>
      <c r="P47" s="752">
        <f t="shared" si="53"/>
        <v>348120</v>
      </c>
      <c r="Q47" s="752">
        <f t="shared" si="53"/>
        <v>348120</v>
      </c>
      <c r="R47" s="752">
        <f t="shared" si="53"/>
        <v>348120</v>
      </c>
      <c r="S47" s="752">
        <f t="shared" si="53"/>
        <v>348120</v>
      </c>
      <c r="T47" s="752">
        <f t="shared" si="53"/>
        <v>348120</v>
      </c>
      <c r="U47" s="752">
        <f t="shared" si="53"/>
        <v>348120</v>
      </c>
      <c r="V47" s="752">
        <f t="shared" si="53"/>
        <v>348120</v>
      </c>
      <c r="W47" s="752">
        <f t="shared" si="53"/>
        <v>348120</v>
      </c>
      <c r="X47" s="752">
        <f t="shared" si="53"/>
        <v>348120</v>
      </c>
      <c r="Y47" s="752">
        <f t="shared" si="53"/>
        <v>348120</v>
      </c>
      <c r="Z47" s="752">
        <f t="shared" si="53"/>
        <v>348120</v>
      </c>
      <c r="AA47" s="752">
        <f t="shared" si="53"/>
        <v>348120</v>
      </c>
      <c r="AB47" s="752">
        <f t="shared" si="53"/>
        <v>348120</v>
      </c>
      <c r="AC47" s="752">
        <f t="shared" si="53"/>
        <v>348120</v>
      </c>
      <c r="AD47" s="752">
        <f t="shared" si="53"/>
        <v>348120</v>
      </c>
      <c r="AE47" s="752">
        <f t="shared" si="53"/>
        <v>348120</v>
      </c>
      <c r="AF47" s="752">
        <f t="shared" si="53"/>
        <v>348120</v>
      </c>
      <c r="AG47" s="752">
        <f t="shared" si="53"/>
        <v>348120</v>
      </c>
      <c r="AH47" s="752">
        <f t="shared" si="53"/>
        <v>348120</v>
      </c>
      <c r="AI47" s="752">
        <f t="shared" si="53"/>
        <v>348120</v>
      </c>
    </row>
    <row r="48" spans="1:35" s="260" customFormat="1" ht="12.75" outlineLevel="1" x14ac:dyDescent="0.2">
      <c r="A48" s="34" t="s">
        <v>386</v>
      </c>
      <c r="B48" s="788">
        <f>SUM(Aprekini!B24:B27,Aprekini!B58,Aprekini!B64,Aprekini!B70)</f>
        <v>13071</v>
      </c>
      <c r="C48" s="788">
        <f>SUM(Aprekini!C24:C27,Aprekini!C58,Aprekini!C64,Aprekini!C70)</f>
        <v>13071</v>
      </c>
      <c r="D48" s="788">
        <f>SUM(Aprekini!D24:D27,Aprekini!D58,Aprekini!D64,Aprekini!D70)</f>
        <v>13071</v>
      </c>
      <c r="E48" s="788">
        <f>SUM(Aprekini!E24:E27,Aprekini!E58,Aprekini!E64,Aprekini!E70)</f>
        <v>13071</v>
      </c>
      <c r="F48" s="788">
        <f>SUM(Aprekini!F24:F27,Aprekini!F58,Aprekini!F64,Aprekini!F70)</f>
        <v>13071</v>
      </c>
      <c r="G48" s="788">
        <f>SUM(Aprekini!G24:G27,Aprekini!G58,Aprekini!G64,Aprekini!G70)</f>
        <v>13071</v>
      </c>
      <c r="H48" s="788">
        <f>SUM(Aprekini!H24:H27,Aprekini!H58,Aprekini!H64,Aprekini!H70)</f>
        <v>13071</v>
      </c>
      <c r="I48" s="788">
        <f>SUM(Aprekini!I24:I27,Aprekini!I58,Aprekini!I64,Aprekini!I70)</f>
        <v>13071</v>
      </c>
      <c r="J48" s="788">
        <f>SUM(Aprekini!J24:J27,Aprekini!J58,Aprekini!J64,Aprekini!J70)</f>
        <v>13071</v>
      </c>
      <c r="K48" s="788">
        <f>SUM(Aprekini!K24:K27,Aprekini!K58,Aprekini!K64,Aprekini!K70)</f>
        <v>13071</v>
      </c>
      <c r="L48" s="788">
        <f>SUM(Aprekini!L24:L27,Aprekini!L58,Aprekini!L64,Aprekini!L70)</f>
        <v>13071</v>
      </c>
      <c r="M48" s="788">
        <f>SUM(Aprekini!M24:M27,Aprekini!M58,Aprekini!M64,Aprekini!M70)</f>
        <v>13071</v>
      </c>
      <c r="N48" s="788">
        <f>SUM(Aprekini!N24:N27,Aprekini!N58,Aprekini!N64,Aprekini!N70)</f>
        <v>13071</v>
      </c>
      <c r="O48" s="788">
        <f>SUM(Aprekini!O24:O27,Aprekini!O58,Aprekini!O64,Aprekini!O70)</f>
        <v>13071</v>
      </c>
      <c r="P48" s="788">
        <f>SUM(Aprekini!P24:P27,Aprekini!P58,Aprekini!P64,Aprekini!P70)</f>
        <v>13071</v>
      </c>
      <c r="Q48" s="788">
        <f>SUM(Aprekini!Q24:Q27,Aprekini!Q58,Aprekini!Q64,Aprekini!Q70)</f>
        <v>13071</v>
      </c>
      <c r="R48" s="788">
        <f>SUM(Aprekini!R24:R27,Aprekini!R58,Aprekini!R64,Aprekini!R70)</f>
        <v>13071</v>
      </c>
      <c r="S48" s="788">
        <f>SUM(Aprekini!S24:S27,Aprekini!S58,Aprekini!S64,Aprekini!S70)</f>
        <v>13071</v>
      </c>
      <c r="T48" s="788">
        <f>SUM(Aprekini!T24:T27,Aprekini!T58,Aprekini!T64,Aprekini!T70)</f>
        <v>13071</v>
      </c>
      <c r="U48" s="788">
        <f>SUM(Aprekini!U24:U27,Aprekini!U58,Aprekini!U64,Aprekini!U70)</f>
        <v>13071</v>
      </c>
      <c r="V48" s="788">
        <f>SUM(Aprekini!V24:V27,Aprekini!V58,Aprekini!V64,Aprekini!V70)</f>
        <v>13071</v>
      </c>
      <c r="W48" s="788">
        <f>SUM(Aprekini!W24:W27,Aprekini!W58,Aprekini!W64,Aprekini!W70)</f>
        <v>13071</v>
      </c>
      <c r="X48" s="788">
        <f>SUM(Aprekini!X24:X27,Aprekini!X58,Aprekini!X64,Aprekini!X70)</f>
        <v>13071</v>
      </c>
      <c r="Y48" s="788">
        <f>SUM(Aprekini!Y24:Y27,Aprekini!Y58,Aprekini!Y64,Aprekini!Y70)</f>
        <v>13071</v>
      </c>
      <c r="Z48" s="788">
        <f>SUM(Aprekini!Z24:Z27,Aprekini!Z58,Aprekini!Z64,Aprekini!Z70)</f>
        <v>13071</v>
      </c>
      <c r="AA48" s="788">
        <f>SUM(Aprekini!AA24:AA27,Aprekini!AA58,Aprekini!AA64,Aprekini!AA70)</f>
        <v>13071</v>
      </c>
      <c r="AB48" s="788">
        <f>SUM(Aprekini!AB24:AB27,Aprekini!AB58,Aprekini!AB64,Aprekini!AB70)</f>
        <v>13071</v>
      </c>
      <c r="AC48" s="788">
        <f>SUM(Aprekini!AC24:AC27,Aprekini!AC58,Aprekini!AC64,Aprekini!AC70)</f>
        <v>13071</v>
      </c>
      <c r="AD48" s="788">
        <f>SUM(Aprekini!AD24:AD27,Aprekini!AD58,Aprekini!AD64,Aprekini!AD70)</f>
        <v>13071</v>
      </c>
      <c r="AE48" s="788">
        <f>SUM(Aprekini!AE24:AE27,Aprekini!AE58,Aprekini!AE64,Aprekini!AE70)</f>
        <v>13071</v>
      </c>
      <c r="AF48" s="788">
        <f>SUM(Aprekini!AF24:AF27,Aprekini!AF58,Aprekini!AF64,Aprekini!AF70)</f>
        <v>13071</v>
      </c>
      <c r="AG48" s="788">
        <f>SUM(Aprekini!AG24:AG27,Aprekini!AG58,Aprekini!AG64,Aprekini!AG70)</f>
        <v>13071</v>
      </c>
      <c r="AH48" s="788">
        <f>SUM(Aprekini!AH24:AH27,Aprekini!AH58,Aprekini!AH64,Aprekini!AH70)</f>
        <v>13071</v>
      </c>
      <c r="AI48" s="788">
        <f>SUM(Aprekini!AI24:AI27,Aprekini!AI58,Aprekini!AI64,Aprekini!AI70)</f>
        <v>13071</v>
      </c>
    </row>
    <row r="49" spans="1:35" s="260" customFormat="1" ht="12.75" outlineLevel="1" x14ac:dyDescent="0.2">
      <c r="A49" s="39" t="s">
        <v>416</v>
      </c>
      <c r="B49" s="752">
        <f>'Datu ievade'!B88*'Datu ievade'!B89/1000*365</f>
        <v>227103.00000000003</v>
      </c>
      <c r="C49" s="752">
        <f>(('Datu ievade'!C88-'Datu ievade'!C92)*'Datu ievade'!C89)/1000*365</f>
        <v>227103.00000000003</v>
      </c>
      <c r="D49" s="752">
        <f>('Datu ievade'!D88-SUM('Datu ievade'!B92:D92))*'Datu ievade'!D89/1000*365</f>
        <v>227103.00000000003</v>
      </c>
      <c r="E49" s="752">
        <f>('Datu ievade'!E88-SUM('Datu ievade'!B92:E92))*'Datu ievade'!E89/1000*365</f>
        <v>229585</v>
      </c>
      <c r="F49" s="752">
        <f>('Datu ievade'!F88-SUM('Datu ievade'!B92:F92))*'Datu ievade'!F89/1000*365</f>
        <v>229585</v>
      </c>
      <c r="G49" s="752">
        <f>('Datu ievade'!G88-SUM('Datu ievade'!B92:G92))*'Datu ievade'!G89/1000*365</f>
        <v>229585</v>
      </c>
      <c r="H49" s="752">
        <f>('Datu ievade'!H88-SUM('Datu ievade'!B92:H92))*'Datu ievade'!H89/1000*365</f>
        <v>229585</v>
      </c>
      <c r="I49" s="752">
        <f>H49</f>
        <v>229585</v>
      </c>
      <c r="J49" s="752">
        <f>I49</f>
        <v>229585</v>
      </c>
      <c r="K49" s="752">
        <f t="shared" ref="K49:R49" si="54">J49</f>
        <v>229585</v>
      </c>
      <c r="L49" s="752">
        <f t="shared" si="54"/>
        <v>229585</v>
      </c>
      <c r="M49" s="752">
        <f t="shared" si="54"/>
        <v>229585</v>
      </c>
      <c r="N49" s="752">
        <f t="shared" si="54"/>
        <v>229585</v>
      </c>
      <c r="O49" s="752">
        <f t="shared" si="54"/>
        <v>229585</v>
      </c>
      <c r="P49" s="752">
        <f t="shared" si="54"/>
        <v>229585</v>
      </c>
      <c r="Q49" s="752">
        <f t="shared" si="54"/>
        <v>229585</v>
      </c>
      <c r="R49" s="752">
        <f t="shared" si="54"/>
        <v>229585</v>
      </c>
      <c r="S49" s="752">
        <f t="shared" ref="S49:AI49" si="55">R49</f>
        <v>229585</v>
      </c>
      <c r="T49" s="752">
        <f t="shared" si="55"/>
        <v>229585</v>
      </c>
      <c r="U49" s="752">
        <f t="shared" si="55"/>
        <v>229585</v>
      </c>
      <c r="V49" s="752">
        <f t="shared" si="55"/>
        <v>229585</v>
      </c>
      <c r="W49" s="752">
        <f t="shared" si="55"/>
        <v>229585</v>
      </c>
      <c r="X49" s="752">
        <f t="shared" si="55"/>
        <v>229585</v>
      </c>
      <c r="Y49" s="752">
        <f t="shared" si="55"/>
        <v>229585</v>
      </c>
      <c r="Z49" s="752">
        <f t="shared" si="55"/>
        <v>229585</v>
      </c>
      <c r="AA49" s="752">
        <f t="shared" si="55"/>
        <v>229585</v>
      </c>
      <c r="AB49" s="752">
        <f t="shared" si="55"/>
        <v>229585</v>
      </c>
      <c r="AC49" s="752">
        <f t="shared" si="55"/>
        <v>229585</v>
      </c>
      <c r="AD49" s="752">
        <f t="shared" si="55"/>
        <v>229585</v>
      </c>
      <c r="AE49" s="752">
        <f t="shared" si="55"/>
        <v>229585</v>
      </c>
      <c r="AF49" s="752">
        <f t="shared" si="55"/>
        <v>229585</v>
      </c>
      <c r="AG49" s="752">
        <f t="shared" si="55"/>
        <v>229585</v>
      </c>
      <c r="AH49" s="752">
        <f t="shared" si="55"/>
        <v>229585</v>
      </c>
      <c r="AI49" s="752">
        <f t="shared" si="55"/>
        <v>229585</v>
      </c>
    </row>
    <row r="50" spans="1:35" s="260" customFormat="1" ht="12.75" outlineLevel="1" x14ac:dyDescent="0.2">
      <c r="A50" s="39" t="s">
        <v>417</v>
      </c>
      <c r="B50" s="752">
        <f>'Datu ievade'!B90</f>
        <v>39062.800000000003</v>
      </c>
      <c r="C50" s="752">
        <f>'Datu ievade'!B90</f>
        <v>39062.800000000003</v>
      </c>
      <c r="D50" s="752">
        <f>'Datu ievade'!C90</f>
        <v>39062.800000000003</v>
      </c>
      <c r="E50" s="752">
        <f>'Datu ievade'!D90</f>
        <v>39062.800000000003</v>
      </c>
      <c r="F50" s="752">
        <f>'Datu ievade'!E90</f>
        <v>39062.800000000003</v>
      </c>
      <c r="G50" s="752">
        <f>'Datu ievade'!F90</f>
        <v>39062.800000000003</v>
      </c>
      <c r="H50" s="752">
        <f>'Datu ievade'!G90</f>
        <v>39062.800000000003</v>
      </c>
      <c r="I50" s="752">
        <f>'Datu ievade'!H90</f>
        <v>39062.800000000003</v>
      </c>
      <c r="J50" s="752">
        <f>I50</f>
        <v>39062.800000000003</v>
      </c>
      <c r="K50" s="752">
        <f t="shared" ref="K50:R50" si="56">J50</f>
        <v>39062.800000000003</v>
      </c>
      <c r="L50" s="752">
        <f t="shared" si="56"/>
        <v>39062.800000000003</v>
      </c>
      <c r="M50" s="752">
        <f t="shared" si="56"/>
        <v>39062.800000000003</v>
      </c>
      <c r="N50" s="752">
        <f t="shared" si="56"/>
        <v>39062.800000000003</v>
      </c>
      <c r="O50" s="752">
        <f t="shared" si="56"/>
        <v>39062.800000000003</v>
      </c>
      <c r="P50" s="752">
        <f t="shared" si="56"/>
        <v>39062.800000000003</v>
      </c>
      <c r="Q50" s="752">
        <f t="shared" si="56"/>
        <v>39062.800000000003</v>
      </c>
      <c r="R50" s="752">
        <f t="shared" si="56"/>
        <v>39062.800000000003</v>
      </c>
      <c r="S50" s="752">
        <f t="shared" ref="S50:AI50" si="57">R50</f>
        <v>39062.800000000003</v>
      </c>
      <c r="T50" s="752">
        <f t="shared" si="57"/>
        <v>39062.800000000003</v>
      </c>
      <c r="U50" s="752">
        <f t="shared" si="57"/>
        <v>39062.800000000003</v>
      </c>
      <c r="V50" s="752">
        <f t="shared" si="57"/>
        <v>39062.800000000003</v>
      </c>
      <c r="W50" s="752">
        <f t="shared" si="57"/>
        <v>39062.800000000003</v>
      </c>
      <c r="X50" s="752">
        <f t="shared" si="57"/>
        <v>39062.800000000003</v>
      </c>
      <c r="Y50" s="752">
        <f t="shared" si="57"/>
        <v>39062.800000000003</v>
      </c>
      <c r="Z50" s="752">
        <f t="shared" si="57"/>
        <v>39062.800000000003</v>
      </c>
      <c r="AA50" s="752">
        <f t="shared" si="57"/>
        <v>39062.800000000003</v>
      </c>
      <c r="AB50" s="752">
        <f t="shared" si="57"/>
        <v>39062.800000000003</v>
      </c>
      <c r="AC50" s="752">
        <f t="shared" si="57"/>
        <v>39062.800000000003</v>
      </c>
      <c r="AD50" s="752">
        <f t="shared" si="57"/>
        <v>39062.800000000003</v>
      </c>
      <c r="AE50" s="752">
        <f t="shared" si="57"/>
        <v>39062.800000000003</v>
      </c>
      <c r="AF50" s="752">
        <f t="shared" si="57"/>
        <v>39062.800000000003</v>
      </c>
      <c r="AG50" s="752">
        <f t="shared" si="57"/>
        <v>39062.800000000003</v>
      </c>
      <c r="AH50" s="752">
        <f t="shared" si="57"/>
        <v>39062.800000000003</v>
      </c>
      <c r="AI50" s="752">
        <f t="shared" si="57"/>
        <v>39062.800000000003</v>
      </c>
    </row>
    <row r="51" spans="1:35" s="260" customFormat="1" ht="12.75" outlineLevel="1" x14ac:dyDescent="0.2">
      <c r="A51" s="39" t="s">
        <v>418</v>
      </c>
      <c r="B51" s="752">
        <f>'Datu ievade'!B91</f>
        <v>52150</v>
      </c>
      <c r="C51" s="752">
        <f>'Datu ievade'!B91</f>
        <v>52150</v>
      </c>
      <c r="D51" s="752">
        <f>'Datu ievade'!C91</f>
        <v>52150</v>
      </c>
      <c r="E51" s="752">
        <f>'Datu ievade'!D91</f>
        <v>52150</v>
      </c>
      <c r="F51" s="752">
        <f>'Datu ievade'!E91</f>
        <v>52150</v>
      </c>
      <c r="G51" s="752">
        <f>'Datu ievade'!F91</f>
        <v>52150</v>
      </c>
      <c r="H51" s="752">
        <f>'Datu ievade'!G91</f>
        <v>52150</v>
      </c>
      <c r="I51" s="752">
        <f>'Datu ievade'!H91</f>
        <v>52150</v>
      </c>
      <c r="J51" s="752">
        <f>I51</f>
        <v>52150</v>
      </c>
      <c r="K51" s="752">
        <f t="shared" ref="K51:R51" si="58">J51</f>
        <v>52150</v>
      </c>
      <c r="L51" s="752">
        <f t="shared" si="58"/>
        <v>52150</v>
      </c>
      <c r="M51" s="752">
        <f t="shared" si="58"/>
        <v>52150</v>
      </c>
      <c r="N51" s="752">
        <f t="shared" si="58"/>
        <v>52150</v>
      </c>
      <c r="O51" s="752">
        <f t="shared" si="58"/>
        <v>52150</v>
      </c>
      <c r="P51" s="752">
        <f t="shared" si="58"/>
        <v>52150</v>
      </c>
      <c r="Q51" s="752">
        <f t="shared" si="58"/>
        <v>52150</v>
      </c>
      <c r="R51" s="752">
        <f t="shared" si="58"/>
        <v>52150</v>
      </c>
      <c r="S51" s="752">
        <f t="shared" ref="S51:AI51" si="59">R51</f>
        <v>52150</v>
      </c>
      <c r="T51" s="752">
        <f t="shared" si="59"/>
        <v>52150</v>
      </c>
      <c r="U51" s="752">
        <f t="shared" si="59"/>
        <v>52150</v>
      </c>
      <c r="V51" s="752">
        <f t="shared" si="59"/>
        <v>52150</v>
      </c>
      <c r="W51" s="752">
        <f t="shared" si="59"/>
        <v>52150</v>
      </c>
      <c r="X51" s="752">
        <f t="shared" si="59"/>
        <v>52150</v>
      </c>
      <c r="Y51" s="752">
        <f t="shared" si="59"/>
        <v>52150</v>
      </c>
      <c r="Z51" s="752">
        <f t="shared" si="59"/>
        <v>52150</v>
      </c>
      <c r="AA51" s="752">
        <f t="shared" si="59"/>
        <v>52150</v>
      </c>
      <c r="AB51" s="752">
        <f t="shared" si="59"/>
        <v>52150</v>
      </c>
      <c r="AC51" s="752">
        <f t="shared" si="59"/>
        <v>52150</v>
      </c>
      <c r="AD51" s="752">
        <f t="shared" si="59"/>
        <v>52150</v>
      </c>
      <c r="AE51" s="752">
        <f t="shared" si="59"/>
        <v>52150</v>
      </c>
      <c r="AF51" s="752">
        <f t="shared" si="59"/>
        <v>52150</v>
      </c>
      <c r="AG51" s="752">
        <f t="shared" si="59"/>
        <v>52150</v>
      </c>
      <c r="AH51" s="752">
        <f t="shared" si="59"/>
        <v>52150</v>
      </c>
      <c r="AI51" s="752">
        <f t="shared" si="59"/>
        <v>52150</v>
      </c>
    </row>
    <row r="52" spans="1:35" s="260" customFormat="1" ht="12.75" outlineLevel="1" x14ac:dyDescent="0.2">
      <c r="A52" s="34" t="s">
        <v>415</v>
      </c>
      <c r="B52" s="752">
        <f>SUM(B49:B51)</f>
        <v>318315.80000000005</v>
      </c>
      <c r="C52" s="752">
        <f>SUM(C49:C51)</f>
        <v>318315.80000000005</v>
      </c>
      <c r="D52" s="752">
        <f t="shared" ref="D52:J52" si="60">SUM(D49:D51)</f>
        <v>318315.80000000005</v>
      </c>
      <c r="E52" s="752">
        <f t="shared" si="60"/>
        <v>320797.8</v>
      </c>
      <c r="F52" s="752">
        <f t="shared" si="60"/>
        <v>320797.8</v>
      </c>
      <c r="G52" s="752">
        <f t="shared" si="60"/>
        <v>320797.8</v>
      </c>
      <c r="H52" s="752">
        <f t="shared" si="60"/>
        <v>320797.8</v>
      </c>
      <c r="I52" s="752">
        <f t="shared" si="60"/>
        <v>320797.8</v>
      </c>
      <c r="J52" s="752">
        <f t="shared" si="60"/>
        <v>320797.8</v>
      </c>
      <c r="K52" s="752">
        <f t="shared" ref="K52:AI52" si="61">SUM(K49:K51)</f>
        <v>320797.8</v>
      </c>
      <c r="L52" s="752">
        <f t="shared" si="61"/>
        <v>320797.8</v>
      </c>
      <c r="M52" s="752">
        <f t="shared" si="61"/>
        <v>320797.8</v>
      </c>
      <c r="N52" s="752">
        <f t="shared" si="61"/>
        <v>320797.8</v>
      </c>
      <c r="O52" s="752">
        <f t="shared" si="61"/>
        <v>320797.8</v>
      </c>
      <c r="P52" s="752">
        <f t="shared" si="61"/>
        <v>320797.8</v>
      </c>
      <c r="Q52" s="752">
        <f t="shared" si="61"/>
        <v>320797.8</v>
      </c>
      <c r="R52" s="752">
        <f t="shared" si="61"/>
        <v>320797.8</v>
      </c>
      <c r="S52" s="752">
        <f t="shared" si="61"/>
        <v>320797.8</v>
      </c>
      <c r="T52" s="752">
        <f t="shared" si="61"/>
        <v>320797.8</v>
      </c>
      <c r="U52" s="752">
        <f t="shared" si="61"/>
        <v>320797.8</v>
      </c>
      <c r="V52" s="752">
        <f t="shared" si="61"/>
        <v>320797.8</v>
      </c>
      <c r="W52" s="752">
        <f t="shared" si="61"/>
        <v>320797.8</v>
      </c>
      <c r="X52" s="752">
        <f t="shared" si="61"/>
        <v>320797.8</v>
      </c>
      <c r="Y52" s="752">
        <f t="shared" si="61"/>
        <v>320797.8</v>
      </c>
      <c r="Z52" s="752">
        <f t="shared" si="61"/>
        <v>320797.8</v>
      </c>
      <c r="AA52" s="752">
        <f t="shared" si="61"/>
        <v>320797.8</v>
      </c>
      <c r="AB52" s="752">
        <f t="shared" si="61"/>
        <v>320797.8</v>
      </c>
      <c r="AC52" s="752">
        <f t="shared" si="61"/>
        <v>320797.8</v>
      </c>
      <c r="AD52" s="752">
        <f t="shared" si="61"/>
        <v>320797.8</v>
      </c>
      <c r="AE52" s="752">
        <f t="shared" si="61"/>
        <v>320797.8</v>
      </c>
      <c r="AF52" s="752">
        <f t="shared" si="61"/>
        <v>320797.8</v>
      </c>
      <c r="AG52" s="752">
        <f t="shared" si="61"/>
        <v>320797.8</v>
      </c>
      <c r="AH52" s="752">
        <f t="shared" si="61"/>
        <v>320797.8</v>
      </c>
      <c r="AI52" s="752">
        <f t="shared" si="61"/>
        <v>320797.8</v>
      </c>
    </row>
    <row r="53" spans="1:35" s="260" customFormat="1" ht="12.75" outlineLevel="1" x14ac:dyDescent="0.2">
      <c r="A53" s="163"/>
      <c r="B53" s="750"/>
      <c r="C53" s="749"/>
      <c r="D53" s="749"/>
      <c r="E53" s="749"/>
      <c r="F53" s="749"/>
      <c r="G53" s="749"/>
      <c r="H53" s="749"/>
      <c r="I53" s="749"/>
      <c r="J53" s="749"/>
      <c r="K53" s="749"/>
      <c r="L53" s="749"/>
      <c r="M53" s="749"/>
      <c r="N53" s="749"/>
      <c r="O53" s="749"/>
      <c r="P53" s="749"/>
      <c r="Q53" s="749"/>
      <c r="R53" s="749"/>
      <c r="S53" s="749"/>
      <c r="T53" s="749"/>
      <c r="U53" s="749"/>
      <c r="V53" s="749"/>
      <c r="W53" s="749"/>
      <c r="X53" s="749"/>
      <c r="Y53" s="749"/>
      <c r="Z53" s="749"/>
      <c r="AA53" s="749"/>
      <c r="AB53" s="749"/>
      <c r="AC53" s="749"/>
      <c r="AD53" s="749"/>
      <c r="AE53" s="749"/>
      <c r="AF53" s="749"/>
      <c r="AG53" s="749"/>
      <c r="AH53" s="749"/>
      <c r="AI53" s="749"/>
    </row>
    <row r="54" spans="1:35" outlineLevel="1" x14ac:dyDescent="0.2">
      <c r="A54" s="34" t="s">
        <v>361</v>
      </c>
      <c r="B54" s="753">
        <f>'Datu ievade'!B132</f>
        <v>0.93899999999999995</v>
      </c>
      <c r="C54" s="753">
        <f>'Datu ievade'!C132</f>
        <v>0.93899999999999995</v>
      </c>
      <c r="D54" s="754"/>
      <c r="E54" s="754"/>
      <c r="F54" s="754"/>
      <c r="G54" s="754"/>
      <c r="H54" s="754"/>
      <c r="I54" s="754"/>
      <c r="J54" s="754"/>
      <c r="K54" s="754"/>
      <c r="L54" s="754"/>
      <c r="M54" s="754"/>
      <c r="N54" s="754"/>
      <c r="O54" s="754"/>
      <c r="P54" s="754"/>
      <c r="Q54" s="754"/>
      <c r="R54" s="754"/>
      <c r="S54" s="754"/>
      <c r="T54" s="754"/>
      <c r="U54" s="754"/>
      <c r="V54" s="754"/>
      <c r="W54" s="754"/>
      <c r="X54" s="754"/>
      <c r="Y54" s="754"/>
      <c r="Z54" s="754"/>
      <c r="AA54" s="754"/>
      <c r="AB54" s="754"/>
      <c r="AC54" s="754"/>
      <c r="AD54" s="754"/>
      <c r="AE54" s="754"/>
      <c r="AF54" s="754"/>
      <c r="AG54" s="754"/>
      <c r="AH54" s="754"/>
      <c r="AI54" s="754"/>
    </row>
    <row r="55" spans="1:35" outlineLevel="1" x14ac:dyDescent="0.2">
      <c r="A55" s="34" t="s">
        <v>363</v>
      </c>
      <c r="B55" s="753">
        <f>'Datu ievade'!B135</f>
        <v>0.93899999999999995</v>
      </c>
      <c r="C55" s="753">
        <f>'Datu ievade'!C135</f>
        <v>0.93899999999999995</v>
      </c>
      <c r="D55" s="753"/>
      <c r="E55" s="753"/>
      <c r="F55" s="753"/>
      <c r="G55" s="753"/>
      <c r="H55" s="753"/>
      <c r="I55" s="753"/>
      <c r="J55" s="753"/>
      <c r="K55" s="753"/>
      <c r="L55" s="753"/>
      <c r="M55" s="753"/>
      <c r="N55" s="753"/>
      <c r="O55" s="753"/>
      <c r="P55" s="753"/>
      <c r="Q55" s="753"/>
      <c r="R55" s="753"/>
      <c r="S55" s="753"/>
      <c r="T55" s="753"/>
      <c r="U55" s="753"/>
      <c r="V55" s="753"/>
      <c r="W55" s="753"/>
      <c r="X55" s="753"/>
      <c r="Y55" s="753"/>
      <c r="Z55" s="753"/>
      <c r="AA55" s="753"/>
      <c r="AB55" s="753"/>
      <c r="AC55" s="753"/>
      <c r="AD55" s="753"/>
      <c r="AE55" s="753"/>
      <c r="AF55" s="753"/>
      <c r="AG55" s="753"/>
      <c r="AH55" s="753"/>
      <c r="AI55" s="753"/>
    </row>
    <row r="56" spans="1:35" outlineLevel="1" x14ac:dyDescent="0.2">
      <c r="A56" s="270" t="s">
        <v>475</v>
      </c>
      <c r="B56" s="755">
        <f>ROUND((B54*B44+B55*B45+B55*B46)/B47,2)</f>
        <v>0.94</v>
      </c>
      <c r="C56" s="755">
        <f>ROUND((C54*C44+C55*C45+C55*C46)/C47,2)</f>
        <v>0.94</v>
      </c>
      <c r="D56" s="756">
        <f>ROUND((1+$B$42)*((SUM(D8:D12,D21:D23)+D43)/D47),2)</f>
        <v>0.77</v>
      </c>
      <c r="E56" s="756">
        <f t="shared" ref="E56:AI56" si="62">ROUND((1+$B$42)*((SUM(E8:E12,E21:E23)+E43)/E47),2)</f>
        <v>0.78</v>
      </c>
      <c r="F56" s="756">
        <f t="shared" si="62"/>
        <v>0.8</v>
      </c>
      <c r="G56" s="756">
        <f t="shared" si="62"/>
        <v>0.81</v>
      </c>
      <c r="H56" s="756">
        <f t="shared" si="62"/>
        <v>0.83</v>
      </c>
      <c r="I56" s="756">
        <f t="shared" si="62"/>
        <v>0.84</v>
      </c>
      <c r="J56" s="756">
        <f t="shared" si="62"/>
        <v>0.86</v>
      </c>
      <c r="K56" s="756">
        <f t="shared" si="62"/>
        <v>0.87</v>
      </c>
      <c r="L56" s="756">
        <f t="shared" si="62"/>
        <v>0.89</v>
      </c>
      <c r="M56" s="756">
        <f t="shared" si="62"/>
        <v>0.9</v>
      </c>
      <c r="N56" s="756">
        <f t="shared" si="62"/>
        <v>0.92</v>
      </c>
      <c r="O56" s="756">
        <f t="shared" si="62"/>
        <v>0.94</v>
      </c>
      <c r="P56" s="756">
        <f t="shared" si="62"/>
        <v>0.96</v>
      </c>
      <c r="Q56" s="756">
        <f t="shared" si="62"/>
        <v>0.98</v>
      </c>
      <c r="R56" s="756">
        <f t="shared" si="62"/>
        <v>1.01</v>
      </c>
      <c r="S56" s="756">
        <f t="shared" si="62"/>
        <v>1.03</v>
      </c>
      <c r="T56" s="756">
        <f t="shared" si="62"/>
        <v>1.05</v>
      </c>
      <c r="U56" s="756">
        <f t="shared" si="62"/>
        <v>1.07</v>
      </c>
      <c r="V56" s="756">
        <f t="shared" si="62"/>
        <v>1.0900000000000001</v>
      </c>
      <c r="W56" s="756">
        <f t="shared" si="62"/>
        <v>1.1100000000000001</v>
      </c>
      <c r="X56" s="756">
        <f t="shared" si="62"/>
        <v>1.1299999999999999</v>
      </c>
      <c r="Y56" s="756">
        <f t="shared" si="62"/>
        <v>1.1599999999999999</v>
      </c>
      <c r="Z56" s="756">
        <f t="shared" si="62"/>
        <v>1.18</v>
      </c>
      <c r="AA56" s="756">
        <f t="shared" si="62"/>
        <v>1.2</v>
      </c>
      <c r="AB56" s="756">
        <f t="shared" si="62"/>
        <v>1.22</v>
      </c>
      <c r="AC56" s="756">
        <f t="shared" si="62"/>
        <v>1.25</v>
      </c>
      <c r="AD56" s="756">
        <f t="shared" si="62"/>
        <v>1.27</v>
      </c>
      <c r="AE56" s="756">
        <f t="shared" si="62"/>
        <v>1.29</v>
      </c>
      <c r="AF56" s="756">
        <f t="shared" si="62"/>
        <v>1.32</v>
      </c>
      <c r="AG56" s="756">
        <f t="shared" si="62"/>
        <v>1.35</v>
      </c>
      <c r="AH56" s="756">
        <f t="shared" si="62"/>
        <v>1.38</v>
      </c>
      <c r="AI56" s="756">
        <f t="shared" si="62"/>
        <v>1.41</v>
      </c>
    </row>
    <row r="57" spans="1:35" outlineLevel="1" x14ac:dyDescent="0.2">
      <c r="A57" s="34" t="s">
        <v>362</v>
      </c>
      <c r="B57" s="753">
        <f>'Datu ievade'!B133</f>
        <v>1.1240000000000001</v>
      </c>
      <c r="C57" s="753">
        <f>'Datu ievade'!C133</f>
        <v>0.92500000000000004</v>
      </c>
      <c r="D57" s="753"/>
      <c r="E57" s="753"/>
      <c r="F57" s="753"/>
      <c r="G57" s="753"/>
      <c r="H57" s="753"/>
      <c r="I57" s="753"/>
      <c r="J57" s="753"/>
      <c r="K57" s="753"/>
      <c r="L57" s="753"/>
      <c r="M57" s="753"/>
      <c r="N57" s="753"/>
      <c r="O57" s="753"/>
      <c r="P57" s="753"/>
      <c r="Q57" s="753"/>
      <c r="R57" s="753"/>
      <c r="S57" s="753"/>
      <c r="T57" s="753"/>
      <c r="U57" s="753"/>
      <c r="V57" s="753"/>
      <c r="W57" s="753"/>
      <c r="X57" s="753"/>
      <c r="Y57" s="753"/>
      <c r="Z57" s="753"/>
      <c r="AA57" s="753"/>
      <c r="AB57" s="753"/>
      <c r="AC57" s="753"/>
      <c r="AD57" s="753"/>
      <c r="AE57" s="753"/>
      <c r="AF57" s="753"/>
      <c r="AG57" s="753"/>
      <c r="AH57" s="753"/>
      <c r="AI57" s="753"/>
    </row>
    <row r="58" spans="1:35" outlineLevel="1" x14ac:dyDescent="0.2">
      <c r="A58" s="34" t="s">
        <v>364</v>
      </c>
      <c r="B58" s="753">
        <f>'Datu ievade'!B136</f>
        <v>1.1240000000000001</v>
      </c>
      <c r="C58" s="753">
        <f>'Datu ievade'!C136</f>
        <v>0.92500000000000004</v>
      </c>
      <c r="D58" s="753"/>
      <c r="E58" s="753"/>
      <c r="F58" s="753"/>
      <c r="G58" s="753"/>
      <c r="H58" s="753"/>
      <c r="I58" s="753"/>
      <c r="J58" s="753"/>
      <c r="K58" s="753"/>
      <c r="L58" s="753"/>
      <c r="M58" s="753"/>
      <c r="N58" s="753"/>
      <c r="O58" s="753"/>
      <c r="P58" s="753"/>
      <c r="Q58" s="753"/>
      <c r="R58" s="753"/>
      <c r="S58" s="753"/>
      <c r="T58" s="753"/>
      <c r="U58" s="753"/>
      <c r="V58" s="753"/>
      <c r="W58" s="753"/>
      <c r="X58" s="753"/>
      <c r="Y58" s="753"/>
      <c r="Z58" s="753"/>
      <c r="AA58" s="753"/>
      <c r="AB58" s="753"/>
      <c r="AC58" s="753"/>
      <c r="AD58" s="753"/>
      <c r="AE58" s="753"/>
      <c r="AF58" s="753"/>
      <c r="AG58" s="753"/>
      <c r="AH58" s="753"/>
      <c r="AI58" s="753"/>
    </row>
    <row r="59" spans="1:35" outlineLevel="1" x14ac:dyDescent="0.2">
      <c r="A59" s="270" t="s">
        <v>475</v>
      </c>
      <c r="B59" s="755">
        <f>ROUND((B57*B49+B58*B50+B58*B51)/B52,2)</f>
        <v>1.1200000000000001</v>
      </c>
      <c r="C59" s="755">
        <f>ROUND((C57*C49+C58*C50+C58*C51)/C52,2)</f>
        <v>0.93</v>
      </c>
      <c r="D59" s="756">
        <f>ROUND((1+$B$42)*((SUM(D14:D18,D25:D27)+D48)/D52),2)</f>
        <v>0.91</v>
      </c>
      <c r="E59" s="756">
        <f t="shared" ref="E59:AI59" si="63">ROUND((1+$B$42)*((SUM(E14:E18,E25:E27)+E48)/E52),2)</f>
        <v>0.92</v>
      </c>
      <c r="F59" s="756">
        <f t="shared" si="63"/>
        <v>0.94</v>
      </c>
      <c r="G59" s="756">
        <f t="shared" si="63"/>
        <v>0.96</v>
      </c>
      <c r="H59" s="756">
        <f t="shared" si="63"/>
        <v>0.97</v>
      </c>
      <c r="I59" s="756">
        <f t="shared" si="63"/>
        <v>0.99</v>
      </c>
      <c r="J59" s="756">
        <f t="shared" si="63"/>
        <v>1.01</v>
      </c>
      <c r="K59" s="756">
        <f t="shared" si="63"/>
        <v>1.02</v>
      </c>
      <c r="L59" s="756">
        <f t="shared" si="63"/>
        <v>1.04</v>
      </c>
      <c r="M59" s="756">
        <f t="shared" si="63"/>
        <v>1.06</v>
      </c>
      <c r="N59" s="756">
        <f t="shared" si="63"/>
        <v>1.08</v>
      </c>
      <c r="O59" s="756">
        <f t="shared" si="63"/>
        <v>1.1000000000000001</v>
      </c>
      <c r="P59" s="756">
        <f t="shared" si="63"/>
        <v>1.1299999999999999</v>
      </c>
      <c r="Q59" s="756">
        <f t="shared" si="63"/>
        <v>1.1499999999999999</v>
      </c>
      <c r="R59" s="756">
        <f t="shared" si="63"/>
        <v>1.18</v>
      </c>
      <c r="S59" s="756">
        <f t="shared" si="63"/>
        <v>1.2</v>
      </c>
      <c r="T59" s="756">
        <f t="shared" si="63"/>
        <v>1.23</v>
      </c>
      <c r="U59" s="756">
        <f t="shared" si="63"/>
        <v>1.25</v>
      </c>
      <c r="V59" s="756">
        <f t="shared" si="63"/>
        <v>1.28</v>
      </c>
      <c r="W59" s="756">
        <f t="shared" si="63"/>
        <v>1.3</v>
      </c>
      <c r="X59" s="756">
        <f t="shared" si="63"/>
        <v>1.33</v>
      </c>
      <c r="Y59" s="756">
        <f t="shared" si="63"/>
        <v>1.35</v>
      </c>
      <c r="Z59" s="756">
        <f t="shared" si="63"/>
        <v>1.37</v>
      </c>
      <c r="AA59" s="756">
        <f t="shared" si="63"/>
        <v>1.4</v>
      </c>
      <c r="AB59" s="756">
        <f t="shared" si="63"/>
        <v>1.43</v>
      </c>
      <c r="AC59" s="756">
        <f t="shared" si="63"/>
        <v>1.45</v>
      </c>
      <c r="AD59" s="756">
        <f t="shared" si="63"/>
        <v>1.48</v>
      </c>
      <c r="AE59" s="756">
        <f t="shared" si="63"/>
        <v>1.51</v>
      </c>
      <c r="AF59" s="756">
        <f t="shared" si="63"/>
        <v>1.54</v>
      </c>
      <c r="AG59" s="756">
        <f t="shared" si="63"/>
        <v>1.57</v>
      </c>
      <c r="AH59" s="756">
        <f t="shared" si="63"/>
        <v>1.61</v>
      </c>
      <c r="AI59" s="756">
        <f t="shared" si="63"/>
        <v>1.64</v>
      </c>
    </row>
    <row r="60" spans="1:35" s="260" customFormat="1" ht="12.75" x14ac:dyDescent="0.2">
      <c r="A60" s="28"/>
      <c r="B60" s="757"/>
      <c r="C60" s="757"/>
      <c r="D60" s="757"/>
      <c r="E60" s="757"/>
      <c r="F60" s="757"/>
      <c r="G60" s="757"/>
      <c r="H60" s="757"/>
      <c r="I60" s="757"/>
      <c r="J60" s="757"/>
      <c r="K60" s="757"/>
      <c r="L60" s="757"/>
      <c r="M60" s="757"/>
      <c r="N60" s="757"/>
      <c r="O60" s="757"/>
      <c r="P60" s="757"/>
      <c r="Q60" s="757"/>
      <c r="R60" s="757"/>
      <c r="S60" s="757"/>
      <c r="T60" s="757"/>
      <c r="U60" s="757"/>
      <c r="V60" s="757"/>
      <c r="W60" s="757"/>
      <c r="X60" s="757"/>
      <c r="Y60" s="757"/>
      <c r="Z60" s="757"/>
      <c r="AA60" s="757"/>
      <c r="AB60" s="757"/>
      <c r="AC60" s="757"/>
      <c r="AD60" s="757"/>
      <c r="AE60" s="757"/>
      <c r="AF60" s="757"/>
      <c r="AG60" s="757"/>
      <c r="AH60" s="757"/>
      <c r="AI60" s="757"/>
    </row>
    <row r="61" spans="1:35" s="260" customFormat="1" ht="31.5" x14ac:dyDescent="0.2">
      <c r="A61" s="271" t="s">
        <v>227</v>
      </c>
      <c r="B61" s="758"/>
      <c r="C61" s="758"/>
      <c r="D61" s="758"/>
      <c r="E61" s="758"/>
      <c r="F61" s="758"/>
      <c r="G61" s="758"/>
      <c r="H61" s="758"/>
      <c r="I61" s="758"/>
      <c r="J61" s="758"/>
      <c r="K61" s="758"/>
      <c r="L61" s="758"/>
      <c r="M61" s="758"/>
      <c r="N61" s="758"/>
      <c r="O61" s="758"/>
      <c r="P61" s="758"/>
      <c r="Q61" s="758"/>
      <c r="R61" s="758"/>
      <c r="S61" s="758"/>
      <c r="T61" s="758"/>
      <c r="U61" s="758"/>
      <c r="V61" s="758"/>
      <c r="W61" s="758"/>
      <c r="X61" s="758"/>
      <c r="Y61" s="758"/>
      <c r="Z61" s="758"/>
      <c r="AA61" s="758"/>
      <c r="AB61" s="758"/>
      <c r="AC61" s="758"/>
      <c r="AD61" s="758"/>
      <c r="AE61" s="758"/>
      <c r="AF61" s="758"/>
      <c r="AG61" s="758"/>
      <c r="AH61" s="758"/>
      <c r="AI61" s="758"/>
    </row>
    <row r="62" spans="1:35" s="260" customFormat="1" ht="12.75" x14ac:dyDescent="0.2">
      <c r="A62" s="272"/>
      <c r="B62" s="758"/>
      <c r="C62" s="758"/>
      <c r="D62" s="758"/>
      <c r="E62" s="758"/>
      <c r="F62" s="758"/>
      <c r="G62" s="758"/>
      <c r="H62" s="758"/>
      <c r="I62" s="758"/>
      <c r="J62" s="758"/>
      <c r="K62" s="758"/>
      <c r="L62" s="758"/>
      <c r="M62" s="758"/>
      <c r="N62" s="758"/>
      <c r="O62" s="758"/>
      <c r="P62" s="758"/>
      <c r="Q62" s="758"/>
      <c r="R62" s="758"/>
      <c r="S62" s="758"/>
      <c r="T62" s="758"/>
      <c r="U62" s="758"/>
      <c r="V62" s="758"/>
      <c r="W62" s="758"/>
      <c r="X62" s="758"/>
      <c r="Y62" s="758"/>
      <c r="Z62" s="758"/>
      <c r="AA62" s="758"/>
      <c r="AB62" s="758"/>
      <c r="AC62" s="758"/>
      <c r="AD62" s="758"/>
      <c r="AE62" s="758"/>
      <c r="AF62" s="758"/>
      <c r="AG62" s="758"/>
      <c r="AH62" s="758"/>
      <c r="AI62" s="758"/>
    </row>
    <row r="63" spans="1:35" s="779" customFormat="1" ht="12.75" x14ac:dyDescent="0.2">
      <c r="A63" s="777"/>
      <c r="B63" s="778">
        <f t="shared" ref="B63:AH63" si="64">B6</f>
        <v>2019</v>
      </c>
      <c r="C63" s="778">
        <f t="shared" si="64"/>
        <v>2020</v>
      </c>
      <c r="D63" s="778">
        <f t="shared" si="64"/>
        <v>2021</v>
      </c>
      <c r="E63" s="778">
        <f t="shared" si="64"/>
        <v>2022</v>
      </c>
      <c r="F63" s="778">
        <f t="shared" si="64"/>
        <v>2023</v>
      </c>
      <c r="G63" s="778">
        <f t="shared" si="64"/>
        <v>2024</v>
      </c>
      <c r="H63" s="778">
        <f t="shared" si="64"/>
        <v>2025</v>
      </c>
      <c r="I63" s="778">
        <f t="shared" si="64"/>
        <v>2026</v>
      </c>
      <c r="J63" s="778">
        <f t="shared" si="64"/>
        <v>2027</v>
      </c>
      <c r="K63" s="778">
        <f t="shared" si="64"/>
        <v>2028</v>
      </c>
      <c r="L63" s="778">
        <f t="shared" si="64"/>
        <v>2029</v>
      </c>
      <c r="M63" s="778">
        <f t="shared" si="64"/>
        <v>2030</v>
      </c>
      <c r="N63" s="778">
        <f t="shared" si="64"/>
        <v>2031</v>
      </c>
      <c r="O63" s="778">
        <f t="shared" si="64"/>
        <v>2032</v>
      </c>
      <c r="P63" s="778">
        <f t="shared" si="64"/>
        <v>2033</v>
      </c>
      <c r="Q63" s="778">
        <f t="shared" si="64"/>
        <v>2034</v>
      </c>
      <c r="R63" s="778">
        <f t="shared" si="64"/>
        <v>2035</v>
      </c>
      <c r="S63" s="778">
        <f t="shared" si="64"/>
        <v>2036</v>
      </c>
      <c r="T63" s="778">
        <f t="shared" si="64"/>
        <v>2037</v>
      </c>
      <c r="U63" s="778">
        <f t="shared" si="64"/>
        <v>2038</v>
      </c>
      <c r="V63" s="778">
        <f t="shared" si="64"/>
        <v>2039</v>
      </c>
      <c r="W63" s="778">
        <f t="shared" si="64"/>
        <v>2040</v>
      </c>
      <c r="X63" s="778">
        <f t="shared" si="64"/>
        <v>2041</v>
      </c>
      <c r="Y63" s="778">
        <f t="shared" si="64"/>
        <v>2042</v>
      </c>
      <c r="Z63" s="778">
        <f t="shared" si="64"/>
        <v>2043</v>
      </c>
      <c r="AA63" s="778">
        <f t="shared" si="64"/>
        <v>2044</v>
      </c>
      <c r="AB63" s="778">
        <f t="shared" si="64"/>
        <v>2045</v>
      </c>
      <c r="AC63" s="778">
        <f t="shared" si="64"/>
        <v>2046</v>
      </c>
      <c r="AD63" s="778">
        <f t="shared" si="64"/>
        <v>2047</v>
      </c>
      <c r="AE63" s="778">
        <f t="shared" si="64"/>
        <v>2048</v>
      </c>
      <c r="AF63" s="778">
        <f t="shared" si="64"/>
        <v>2049</v>
      </c>
      <c r="AG63" s="778">
        <f t="shared" si="64"/>
        <v>2050</v>
      </c>
      <c r="AH63" s="778">
        <f t="shared" si="64"/>
        <v>2051</v>
      </c>
      <c r="AI63" s="778">
        <f>AI6</f>
        <v>2052</v>
      </c>
    </row>
    <row r="64" spans="1:35" s="260" customFormat="1" ht="12.75" x14ac:dyDescent="0.2">
      <c r="A64" s="261" t="s">
        <v>66</v>
      </c>
      <c r="B64" s="758">
        <f>SUM(B65:B69)</f>
        <v>158203.32</v>
      </c>
      <c r="C64" s="758">
        <f t="shared" ref="C64:AI64" si="65">SUM(C65:C69)</f>
        <v>162949.41959999999</v>
      </c>
      <c r="D64" s="758">
        <f t="shared" si="65"/>
        <v>173250</v>
      </c>
      <c r="E64" s="758">
        <f t="shared" si="65"/>
        <v>176550</v>
      </c>
      <c r="F64" s="758">
        <f t="shared" si="65"/>
        <v>179850</v>
      </c>
      <c r="G64" s="758">
        <f t="shared" si="65"/>
        <v>183150.00000000003</v>
      </c>
      <c r="H64" s="758">
        <f t="shared" si="65"/>
        <v>186449.99999999997</v>
      </c>
      <c r="I64" s="758">
        <f>SUM(I65:I69)</f>
        <v>189750</v>
      </c>
      <c r="J64" s="758">
        <f t="shared" si="65"/>
        <v>193050</v>
      </c>
      <c r="K64" s="758">
        <f t="shared" si="65"/>
        <v>196350</v>
      </c>
      <c r="L64" s="758">
        <f t="shared" si="65"/>
        <v>199650</v>
      </c>
      <c r="M64" s="758">
        <f t="shared" si="65"/>
        <v>202950</v>
      </c>
      <c r="N64" s="758">
        <f t="shared" si="65"/>
        <v>206250</v>
      </c>
      <c r="O64" s="758">
        <f t="shared" si="65"/>
        <v>211200</v>
      </c>
      <c r="P64" s="758">
        <f t="shared" si="65"/>
        <v>216150</v>
      </c>
      <c r="Q64" s="758">
        <f t="shared" si="65"/>
        <v>221100</v>
      </c>
      <c r="R64" s="758">
        <f t="shared" si="65"/>
        <v>226050</v>
      </c>
      <c r="S64" s="758">
        <f t="shared" si="65"/>
        <v>231000</v>
      </c>
      <c r="T64" s="758">
        <f t="shared" si="65"/>
        <v>235950</v>
      </c>
      <c r="U64" s="758">
        <f t="shared" si="65"/>
        <v>240900</v>
      </c>
      <c r="V64" s="758">
        <f t="shared" si="65"/>
        <v>245850</v>
      </c>
      <c r="W64" s="758">
        <f t="shared" si="65"/>
        <v>250800</v>
      </c>
      <c r="X64" s="758">
        <f t="shared" si="65"/>
        <v>255750</v>
      </c>
      <c r="Y64" s="758">
        <f t="shared" si="65"/>
        <v>260700</v>
      </c>
      <c r="Z64" s="758">
        <f t="shared" si="65"/>
        <v>265650</v>
      </c>
      <c r="AA64" s="758">
        <f t="shared" si="65"/>
        <v>270600</v>
      </c>
      <c r="AB64" s="758">
        <f t="shared" si="65"/>
        <v>275550</v>
      </c>
      <c r="AC64" s="758">
        <f t="shared" si="65"/>
        <v>280500</v>
      </c>
      <c r="AD64" s="758">
        <f t="shared" si="65"/>
        <v>285450</v>
      </c>
      <c r="AE64" s="758">
        <f t="shared" si="65"/>
        <v>290400</v>
      </c>
      <c r="AF64" s="758">
        <f t="shared" si="65"/>
        <v>297000</v>
      </c>
      <c r="AG64" s="758">
        <f t="shared" si="65"/>
        <v>303600</v>
      </c>
      <c r="AH64" s="758">
        <f t="shared" si="65"/>
        <v>310200</v>
      </c>
      <c r="AI64" s="758">
        <f t="shared" si="65"/>
        <v>316800</v>
      </c>
    </row>
    <row r="65" spans="1:35" s="267" customFormat="1" ht="12.75" x14ac:dyDescent="0.2">
      <c r="A65" s="273" t="s">
        <v>67</v>
      </c>
      <c r="B65" s="748">
        <f>'gadu šķirošana'!C34</f>
        <v>50000</v>
      </c>
      <c r="C65" s="748">
        <f>'gadu šķirošana'!D34*'gadu šķirošana'!D$75</f>
        <v>51500</v>
      </c>
      <c r="D65" s="748">
        <f>'gadu šķirošana'!E34*'gadu šķirošana'!E$75</f>
        <v>57750</v>
      </c>
      <c r="E65" s="748">
        <f>'gadu šķirošana'!F34*'gadu šķirošana'!F$75</f>
        <v>58850</v>
      </c>
      <c r="F65" s="748">
        <f>'gadu šķirošana'!G34*'gadu šķirošana'!G$75</f>
        <v>59950.000000000007</v>
      </c>
      <c r="G65" s="748">
        <f>'gadu šķirošana'!H34*'gadu šķirošana'!H$75</f>
        <v>61050.000000000007</v>
      </c>
      <c r="H65" s="748">
        <f>'gadu šķirošana'!I34*'gadu šķirošana'!I$75</f>
        <v>62149.999999999993</v>
      </c>
      <c r="I65" s="748">
        <f>'gadu šķirošana'!J34*'gadu šķirošana'!J$75</f>
        <v>63249.999999999993</v>
      </c>
      <c r="J65" s="748">
        <f>'gadu šķirošana'!K34*'gadu šķirošana'!K$75</f>
        <v>64349.999999999993</v>
      </c>
      <c r="K65" s="748">
        <f>'gadu šķirošana'!L34*'gadu šķirošana'!L$75</f>
        <v>65450</v>
      </c>
      <c r="L65" s="748">
        <f>'gadu šķirošana'!M34*'gadu šķirošana'!M$75</f>
        <v>66550</v>
      </c>
      <c r="M65" s="748">
        <f>'gadu šķirošana'!N34*'gadu šķirošana'!N$75</f>
        <v>67650</v>
      </c>
      <c r="N65" s="748">
        <f>'gadu šķirošana'!O34*'gadu šķirošana'!O$75</f>
        <v>68750</v>
      </c>
      <c r="O65" s="748">
        <f>'gadu šķirošana'!P34*'gadu šķirošana'!P$75</f>
        <v>70400</v>
      </c>
      <c r="P65" s="748">
        <f>'gadu šķirošana'!Q34*'gadu šķirošana'!Q$75</f>
        <v>72050</v>
      </c>
      <c r="Q65" s="748">
        <f>'gadu šķirošana'!R34*'gadu šķirošana'!R$75</f>
        <v>73700</v>
      </c>
      <c r="R65" s="748">
        <f>'gadu šķirošana'!S34*'gadu šķirošana'!S$75</f>
        <v>75350</v>
      </c>
      <c r="S65" s="748">
        <f>'gadu šķirošana'!T34*'gadu šķirošana'!T$75</f>
        <v>77000</v>
      </c>
      <c r="T65" s="748">
        <f>'gadu šķirošana'!U34*'gadu šķirošana'!U$75</f>
        <v>78650</v>
      </c>
      <c r="U65" s="748">
        <f>'gadu šķirošana'!V34*'gadu šķirošana'!V$75</f>
        <v>80300</v>
      </c>
      <c r="V65" s="748">
        <f>'gadu šķirošana'!W34*'gadu šķirošana'!W$75</f>
        <v>81950</v>
      </c>
      <c r="W65" s="748">
        <f>'gadu šķirošana'!X34*'gadu šķirošana'!X$75</f>
        <v>83600</v>
      </c>
      <c r="X65" s="748">
        <f>'gadu šķirošana'!Y34*'gadu šķirošana'!Y$75</f>
        <v>85250</v>
      </c>
      <c r="Y65" s="748">
        <f>'gadu šķirošana'!Z34*'gadu šķirošana'!Z$75</f>
        <v>86900</v>
      </c>
      <c r="Z65" s="748">
        <f>'gadu šķirošana'!AA34*'gadu šķirošana'!AA$75</f>
        <v>88550</v>
      </c>
      <c r="AA65" s="748">
        <f>'gadu šķirošana'!AB34*'gadu šķirošana'!AB$75</f>
        <v>90200</v>
      </c>
      <c r="AB65" s="748">
        <f>'gadu šķirošana'!AC34*'gadu šķirošana'!AC$75</f>
        <v>91850</v>
      </c>
      <c r="AC65" s="748">
        <f>'gadu šķirošana'!AD34*'gadu šķirošana'!AD$75</f>
        <v>93500</v>
      </c>
      <c r="AD65" s="748">
        <f>'gadu šķirošana'!AE34*'gadu šķirošana'!AE$75</f>
        <v>95150</v>
      </c>
      <c r="AE65" s="748">
        <f>'gadu šķirošana'!AF34*'gadu šķirošana'!AF$75</f>
        <v>96800</v>
      </c>
      <c r="AF65" s="748">
        <f>'gadu šķirošana'!AG34*'gadu šķirošana'!AG$75</f>
        <v>99000</v>
      </c>
      <c r="AG65" s="748">
        <f>'gadu šķirošana'!AH34*'gadu šķirošana'!AH$75</f>
        <v>101200</v>
      </c>
      <c r="AH65" s="748">
        <f>'gadu šķirošana'!AI34*'gadu šķirošana'!AI$75</f>
        <v>103400</v>
      </c>
      <c r="AI65" s="748">
        <f>'gadu šķirošana'!AJ34*'gadu šķirošana'!AJ$75</f>
        <v>105600</v>
      </c>
    </row>
    <row r="66" spans="1:35" s="267" customFormat="1" ht="12.75" x14ac:dyDescent="0.2">
      <c r="A66" s="274" t="s">
        <v>68</v>
      </c>
      <c r="B66" s="748">
        <f>'gadu šķirošana'!C35</f>
        <v>41814</v>
      </c>
      <c r="C66" s="748">
        <f>'gadu šķirošana'!D35*'gadu šķirošana'!D$75</f>
        <v>43068.42</v>
      </c>
      <c r="D66" s="748">
        <f>'gadu šķirošana'!E35*'gadu šķirošana'!E$75</f>
        <v>44100</v>
      </c>
      <c r="E66" s="748">
        <f>'gadu šķirošana'!F35*'gadu šķirošana'!F$75</f>
        <v>44940</v>
      </c>
      <c r="F66" s="748">
        <f>'gadu šķirošana'!G35*'gadu šķirošana'!G$75</f>
        <v>45780</v>
      </c>
      <c r="G66" s="748">
        <f>'gadu šķirošana'!H35*'gadu šķirošana'!H$75</f>
        <v>46620.000000000007</v>
      </c>
      <c r="H66" s="748">
        <f>'gadu šķirošana'!I35*'gadu šķirošana'!I$75</f>
        <v>47459.999999999993</v>
      </c>
      <c r="I66" s="748">
        <f>'gadu šķirošana'!J35*'gadu šķirošana'!J$75</f>
        <v>48299.999999999993</v>
      </c>
      <c r="J66" s="748">
        <f>'gadu šķirošana'!K35*'gadu šķirošana'!K$75</f>
        <v>49140</v>
      </c>
      <c r="K66" s="748">
        <f>'gadu šķirošana'!L35*'gadu šķirošana'!L$75</f>
        <v>49980</v>
      </c>
      <c r="L66" s="748">
        <f>'gadu šķirošana'!M35*'gadu šķirošana'!M$75</f>
        <v>50820</v>
      </c>
      <c r="M66" s="748">
        <f>'gadu šķirošana'!N35*'gadu šķirošana'!N$75</f>
        <v>51660</v>
      </c>
      <c r="N66" s="748">
        <f>'gadu šķirošana'!O35*'gadu šķirošana'!O$75</f>
        <v>52500</v>
      </c>
      <c r="O66" s="748">
        <f>'gadu šķirošana'!P35*'gadu šķirošana'!P$75</f>
        <v>53760</v>
      </c>
      <c r="P66" s="748">
        <f>'gadu šķirošana'!Q35*'gadu šķirošana'!Q$75</f>
        <v>55020</v>
      </c>
      <c r="Q66" s="748">
        <f>'gadu šķirošana'!R35*'gadu šķirošana'!R$75</f>
        <v>56280</v>
      </c>
      <c r="R66" s="748">
        <f>'gadu šķirošana'!S35*'gadu šķirošana'!S$75</f>
        <v>57540.000000000007</v>
      </c>
      <c r="S66" s="748">
        <f>'gadu šķirošana'!T35*'gadu šķirošana'!T$75</f>
        <v>58799.999999999993</v>
      </c>
      <c r="T66" s="748">
        <f>'gadu šķirošana'!U35*'gadu šķirošana'!U$75</f>
        <v>60060</v>
      </c>
      <c r="U66" s="748">
        <f>'gadu šķirošana'!V35*'gadu šķirošana'!V$75</f>
        <v>61320</v>
      </c>
      <c r="V66" s="748">
        <f>'gadu šķirošana'!W35*'gadu šķirošana'!W$75</f>
        <v>62580</v>
      </c>
      <c r="W66" s="748">
        <f>'gadu šķirošana'!X35*'gadu šķirošana'!X$75</f>
        <v>63840</v>
      </c>
      <c r="X66" s="748">
        <f>'gadu šķirošana'!Y35*'gadu šķirošana'!Y$75</f>
        <v>65100</v>
      </c>
      <c r="Y66" s="748">
        <f>'gadu šķirošana'!Z35*'gadu šķirošana'!Z$75</f>
        <v>66360</v>
      </c>
      <c r="Z66" s="748">
        <f>'gadu šķirošana'!AA35*'gadu šķirošana'!AA$75</f>
        <v>67620</v>
      </c>
      <c r="AA66" s="748">
        <f>'gadu šķirošana'!AB35*'gadu šķirošana'!AB$75</f>
        <v>68880</v>
      </c>
      <c r="AB66" s="748">
        <f>'gadu šķirošana'!AC35*'gadu šķirošana'!AC$75</f>
        <v>70140</v>
      </c>
      <c r="AC66" s="748">
        <f>'gadu šķirošana'!AD35*'gadu šķirošana'!AD$75</f>
        <v>71400</v>
      </c>
      <c r="AD66" s="748">
        <f>'gadu šķirošana'!AE35*'gadu šķirošana'!AE$75</f>
        <v>72660</v>
      </c>
      <c r="AE66" s="748">
        <f>'gadu šķirošana'!AF35*'gadu šķirošana'!AF$75</f>
        <v>73920</v>
      </c>
      <c r="AF66" s="748">
        <f>'gadu šķirošana'!AG35*'gadu šķirošana'!AG$75</f>
        <v>75600</v>
      </c>
      <c r="AG66" s="748">
        <f>'gadu šķirošana'!AH35*'gadu šķirošana'!AH$75</f>
        <v>77280</v>
      </c>
      <c r="AH66" s="748">
        <f>'gadu šķirošana'!AI35*'gadu šķirošana'!AI$75</f>
        <v>78960</v>
      </c>
      <c r="AI66" s="748">
        <f>'gadu šķirošana'!AJ35*'gadu šķirošana'!AJ$75</f>
        <v>80640</v>
      </c>
    </row>
    <row r="67" spans="1:35" s="267" customFormat="1" ht="12.75" x14ac:dyDescent="0.2">
      <c r="A67" s="274" t="s">
        <v>69</v>
      </c>
      <c r="B67" s="748">
        <f>'gadu šķirošana'!C36</f>
        <v>18409.27</v>
      </c>
      <c r="C67" s="748">
        <f>'gadu šķirošana'!D36*'gadu šķirošana'!D$75</f>
        <v>18961.5481</v>
      </c>
      <c r="D67" s="748">
        <f>'gadu šķirošana'!E36*'gadu šķirošana'!E$75</f>
        <v>19950</v>
      </c>
      <c r="E67" s="748">
        <f>'gadu šķirošana'!F36*'gadu šķirošana'!F$75</f>
        <v>20330</v>
      </c>
      <c r="F67" s="748">
        <f>'gadu šķirošana'!G36*'gadu šķirošana'!G$75</f>
        <v>20710</v>
      </c>
      <c r="G67" s="748">
        <f>'gadu šķirošana'!H36*'gadu šķirošana'!H$75</f>
        <v>21090.000000000004</v>
      </c>
      <c r="H67" s="748">
        <f>'gadu šķirošana'!I36*'gadu šķirošana'!I$75</f>
        <v>21469.999999999996</v>
      </c>
      <c r="I67" s="748">
        <f>'gadu šķirošana'!J36*'gadu šķirošana'!J$75</f>
        <v>21850</v>
      </c>
      <c r="J67" s="748">
        <f>'gadu šķirošana'!K36*'gadu šķirošana'!K$75</f>
        <v>22230</v>
      </c>
      <c r="K67" s="748">
        <f>'gadu šķirošana'!L36*'gadu šķirošana'!L$75</f>
        <v>22610</v>
      </c>
      <c r="L67" s="748">
        <f>'gadu šķirošana'!M36*'gadu šķirošana'!M$75</f>
        <v>22990</v>
      </c>
      <c r="M67" s="748">
        <f>'gadu šķirošana'!N36*'gadu šķirošana'!N$75</f>
        <v>23370</v>
      </c>
      <c r="N67" s="748">
        <f>'gadu šķirošana'!O36*'gadu šķirošana'!O$75</f>
        <v>23750</v>
      </c>
      <c r="O67" s="748">
        <f>'gadu šķirošana'!P36*'gadu šķirošana'!P$75</f>
        <v>24320</v>
      </c>
      <c r="P67" s="748">
        <f>'gadu šķirošana'!Q36*'gadu šķirošana'!Q$75</f>
        <v>24890</v>
      </c>
      <c r="Q67" s="748">
        <f>'gadu šķirošana'!R36*'gadu šķirošana'!R$75</f>
        <v>25460</v>
      </c>
      <c r="R67" s="748">
        <f>'gadu šķirošana'!S36*'gadu šķirošana'!S$75</f>
        <v>26030.000000000004</v>
      </c>
      <c r="S67" s="748">
        <f>'gadu šķirošana'!T36*'gadu šķirošana'!T$75</f>
        <v>26600</v>
      </c>
      <c r="T67" s="748">
        <f>'gadu šķirošana'!U36*'gadu šķirošana'!U$75</f>
        <v>27170</v>
      </c>
      <c r="U67" s="748">
        <f>'gadu šķirošana'!V36*'gadu šķirošana'!V$75</f>
        <v>27740</v>
      </c>
      <c r="V67" s="748">
        <f>'gadu šķirošana'!W36*'gadu šķirošana'!W$75</f>
        <v>28310</v>
      </c>
      <c r="W67" s="748">
        <f>'gadu šķirošana'!X36*'gadu šķirošana'!X$75</f>
        <v>28880</v>
      </c>
      <c r="X67" s="748">
        <f>'gadu šķirošana'!Y36*'gadu šķirošana'!Y$75</f>
        <v>29450</v>
      </c>
      <c r="Y67" s="748">
        <f>'gadu šķirošana'!Z36*'gadu šķirošana'!Z$75</f>
        <v>30020</v>
      </c>
      <c r="Z67" s="748">
        <f>'gadu šķirošana'!AA36*'gadu šķirošana'!AA$75</f>
        <v>30590.000000000004</v>
      </c>
      <c r="AA67" s="748">
        <f>'gadu šķirošana'!AB36*'gadu šķirošana'!AB$75</f>
        <v>31159.999999999996</v>
      </c>
      <c r="AB67" s="748">
        <f>'gadu šķirošana'!AC36*'gadu šķirošana'!AC$75</f>
        <v>31730</v>
      </c>
      <c r="AC67" s="748">
        <f>'gadu šķirošana'!AD36*'gadu šķirošana'!AD$75</f>
        <v>32300</v>
      </c>
      <c r="AD67" s="748">
        <f>'gadu šķirošana'!AE36*'gadu šķirošana'!AE$75</f>
        <v>32870</v>
      </c>
      <c r="AE67" s="748">
        <f>'gadu šķirošana'!AF36*'gadu šķirošana'!AF$75</f>
        <v>33440</v>
      </c>
      <c r="AF67" s="748">
        <f>'gadu šķirošana'!AG36*'gadu šķirošana'!AG$75</f>
        <v>34200</v>
      </c>
      <c r="AG67" s="748">
        <f>'gadu šķirošana'!AH36*'gadu šķirošana'!AH$75</f>
        <v>34960</v>
      </c>
      <c r="AH67" s="748">
        <f>'gadu šķirošana'!AI36*'gadu šķirošana'!AI$75</f>
        <v>35720</v>
      </c>
      <c r="AI67" s="748">
        <f>'gadu šķirošana'!AJ36*'gadu šķirošana'!AJ$75</f>
        <v>36480</v>
      </c>
    </row>
    <row r="68" spans="1:35" s="267" customFormat="1" ht="12.75" x14ac:dyDescent="0.2">
      <c r="A68" s="274" t="s">
        <v>70</v>
      </c>
      <c r="B68" s="748">
        <f>'gadu šķirošana'!C37</f>
        <v>40894.9</v>
      </c>
      <c r="C68" s="748">
        <f>'gadu šķirošana'!D37*'gadu šķirošana'!D$75</f>
        <v>42121.747000000003</v>
      </c>
      <c r="D68" s="748">
        <f>'gadu šķirošana'!E37*'gadu šķirošana'!E$75</f>
        <v>43050</v>
      </c>
      <c r="E68" s="748">
        <f>'gadu šķirošana'!F37*'gadu šķirošana'!F$75</f>
        <v>43870</v>
      </c>
      <c r="F68" s="748">
        <f>'gadu šķirošana'!G37*'gadu šķirošana'!G$75</f>
        <v>44690</v>
      </c>
      <c r="G68" s="748">
        <f>'gadu šķirošana'!H37*'gadu šķirošana'!H$75</f>
        <v>45510.000000000007</v>
      </c>
      <c r="H68" s="748">
        <f>'gadu šķirošana'!I37*'gadu šķirošana'!I$75</f>
        <v>46329.999999999993</v>
      </c>
      <c r="I68" s="748">
        <f>'gadu šķirošana'!J37*'gadu šķirošana'!J$75</f>
        <v>47149.999999999993</v>
      </c>
      <c r="J68" s="748">
        <f>'gadu šķirošana'!K37*'gadu šķirošana'!K$75</f>
        <v>47970</v>
      </c>
      <c r="K68" s="748">
        <f>'gadu šķirošana'!L37*'gadu šķirošana'!L$75</f>
        <v>48790</v>
      </c>
      <c r="L68" s="748">
        <f>'gadu šķirošana'!M37*'gadu šķirošana'!M$75</f>
        <v>49610</v>
      </c>
      <c r="M68" s="748">
        <f>'gadu šķirošana'!N37*'gadu šķirošana'!N$75</f>
        <v>50430</v>
      </c>
      <c r="N68" s="748">
        <f>'gadu šķirošana'!O37*'gadu šķirošana'!O$75</f>
        <v>51250</v>
      </c>
      <c r="O68" s="748">
        <f>'gadu šķirošana'!P37*'gadu šķirošana'!P$75</f>
        <v>52480</v>
      </c>
      <c r="P68" s="748">
        <f>'gadu šķirošana'!Q37*'gadu šķirošana'!Q$75</f>
        <v>53710</v>
      </c>
      <c r="Q68" s="748">
        <f>'gadu šķirošana'!R37*'gadu šķirošana'!R$75</f>
        <v>54940</v>
      </c>
      <c r="R68" s="748">
        <f>'gadu šķirošana'!S37*'gadu šķirošana'!S$75</f>
        <v>56170.000000000007</v>
      </c>
      <c r="S68" s="748">
        <f>'gadu šķirošana'!T37*'gadu šķirošana'!T$75</f>
        <v>57399.999999999993</v>
      </c>
      <c r="T68" s="748">
        <f>'gadu šķirošana'!U37*'gadu šķirošana'!U$75</f>
        <v>58630</v>
      </c>
      <c r="U68" s="748">
        <f>'gadu šķirošana'!V37*'gadu šķirošana'!V$75</f>
        <v>59860</v>
      </c>
      <c r="V68" s="748">
        <f>'gadu šķirošana'!W37*'gadu šķirošana'!W$75</f>
        <v>61090</v>
      </c>
      <c r="W68" s="748">
        <f>'gadu šķirošana'!X37*'gadu šķirošana'!X$75</f>
        <v>62320</v>
      </c>
      <c r="X68" s="748">
        <f>'gadu šķirošana'!Y37*'gadu šķirošana'!Y$75</f>
        <v>63550</v>
      </c>
      <c r="Y68" s="748">
        <f>'gadu šķirošana'!Z37*'gadu šķirošana'!Z$75</f>
        <v>64780</v>
      </c>
      <c r="Z68" s="748">
        <f>'gadu šķirošana'!AA37*'gadu šķirošana'!AA$75</f>
        <v>66010</v>
      </c>
      <c r="AA68" s="748">
        <f>'gadu šķirošana'!AB37*'gadu šķirošana'!AB$75</f>
        <v>67240</v>
      </c>
      <c r="AB68" s="748">
        <f>'gadu šķirošana'!AC37*'gadu šķirošana'!AC$75</f>
        <v>68470</v>
      </c>
      <c r="AC68" s="748">
        <f>'gadu šķirošana'!AD37*'gadu šķirošana'!AD$75</f>
        <v>69700</v>
      </c>
      <c r="AD68" s="748">
        <f>'gadu šķirošana'!AE37*'gadu šķirošana'!AE$75</f>
        <v>70930</v>
      </c>
      <c r="AE68" s="748">
        <f>'gadu šķirošana'!AF37*'gadu šķirošana'!AF$75</f>
        <v>72160</v>
      </c>
      <c r="AF68" s="748">
        <f>'gadu šķirošana'!AG37*'gadu šķirošana'!AG$75</f>
        <v>73800</v>
      </c>
      <c r="AG68" s="748">
        <f>'gadu šķirošana'!AH37*'gadu šķirošana'!AH$75</f>
        <v>75440</v>
      </c>
      <c r="AH68" s="748">
        <f>'gadu šķirošana'!AI37*'gadu šķirošana'!AI$75</f>
        <v>77080</v>
      </c>
      <c r="AI68" s="748">
        <f>'gadu šķirošana'!AJ37*'gadu šķirošana'!AJ$75</f>
        <v>78720</v>
      </c>
    </row>
    <row r="69" spans="1:35" s="267" customFormat="1" ht="12.75" x14ac:dyDescent="0.2">
      <c r="A69" s="274" t="s">
        <v>621</v>
      </c>
      <c r="B69" s="748">
        <f>'gadu šķirošana'!C38</f>
        <v>7085.15</v>
      </c>
      <c r="C69" s="748">
        <f>'gadu šķirošana'!D38*'gadu šķirošana'!D$75</f>
        <v>7297.7044999999998</v>
      </c>
      <c r="D69" s="748">
        <f>'gadu šķirošana'!E38*'gadu šķirošana'!E$75</f>
        <v>8400</v>
      </c>
      <c r="E69" s="748">
        <f>'gadu šķirošana'!F38*'gadu šķirošana'!F$75</f>
        <v>8560</v>
      </c>
      <c r="F69" s="748">
        <f>'gadu šķirošana'!G38*'gadu šķirošana'!G$75</f>
        <v>8720</v>
      </c>
      <c r="G69" s="748">
        <f>'gadu šķirošana'!H38*'gadu šķirošana'!H$75</f>
        <v>8880</v>
      </c>
      <c r="H69" s="748">
        <f>'gadu šķirošana'!I38*'gadu šķirošana'!I$75</f>
        <v>9040</v>
      </c>
      <c r="I69" s="748">
        <f>'gadu šķirošana'!J38*'gadu šķirošana'!J$75</f>
        <v>9200</v>
      </c>
      <c r="J69" s="748">
        <f>'gadu šķirošana'!K38*'gadu šķirošana'!K$75</f>
        <v>9360</v>
      </c>
      <c r="K69" s="748">
        <f>'gadu šķirošana'!L38*'gadu šķirošana'!L$75</f>
        <v>9520</v>
      </c>
      <c r="L69" s="748">
        <f>'gadu šķirošana'!M38*'gadu šķirošana'!M$75</f>
        <v>9680</v>
      </c>
      <c r="M69" s="748">
        <f>'gadu šķirošana'!N38*'gadu šķirošana'!N$75</f>
        <v>9840</v>
      </c>
      <c r="N69" s="748">
        <f>'gadu šķirošana'!O38*'gadu šķirošana'!O$75</f>
        <v>10000</v>
      </c>
      <c r="O69" s="748">
        <f>'gadu šķirošana'!P38*'gadu šķirošana'!P$75</f>
        <v>10240</v>
      </c>
      <c r="P69" s="748">
        <f>'gadu šķirošana'!Q38*'gadu šķirošana'!Q$75</f>
        <v>10480</v>
      </c>
      <c r="Q69" s="748">
        <f>'gadu šķirošana'!R38*'gadu šķirošana'!R$75</f>
        <v>10720</v>
      </c>
      <c r="R69" s="748">
        <f>'gadu šķirošana'!S38*'gadu šķirošana'!S$75</f>
        <v>10960</v>
      </c>
      <c r="S69" s="748">
        <f>'gadu šķirošana'!T38*'gadu šķirošana'!T$75</f>
        <v>11200</v>
      </c>
      <c r="T69" s="748">
        <f>'gadu šķirošana'!U38*'gadu šķirošana'!U$75</f>
        <v>11440</v>
      </c>
      <c r="U69" s="748">
        <f>'gadu šķirošana'!V38*'gadu šķirošana'!V$75</f>
        <v>11680</v>
      </c>
      <c r="V69" s="748">
        <f>'gadu šķirošana'!W38*'gadu šķirošana'!W$75</f>
        <v>11920</v>
      </c>
      <c r="W69" s="748">
        <f>'gadu šķirošana'!X38*'gadu šķirošana'!X$75</f>
        <v>12160</v>
      </c>
      <c r="X69" s="748">
        <f>'gadu šķirošana'!Y38*'gadu šķirošana'!Y$75</f>
        <v>12400</v>
      </c>
      <c r="Y69" s="748">
        <f>'gadu šķirošana'!Z38*'gadu šķirošana'!Z$75</f>
        <v>12640</v>
      </c>
      <c r="Z69" s="748">
        <f>'gadu šķirošana'!AA38*'gadu šķirošana'!AA$75</f>
        <v>12880</v>
      </c>
      <c r="AA69" s="748">
        <f>'gadu šķirošana'!AB38*'gadu šķirošana'!AB$75</f>
        <v>13120</v>
      </c>
      <c r="AB69" s="748">
        <f>'gadu šķirošana'!AC38*'gadu šķirošana'!AC$75</f>
        <v>13360</v>
      </c>
      <c r="AC69" s="748">
        <f>'gadu šķirošana'!AD38*'gadu šķirošana'!AD$75</f>
        <v>13600</v>
      </c>
      <c r="AD69" s="748">
        <f>'gadu šķirošana'!AE38*'gadu šķirošana'!AE$75</f>
        <v>13840</v>
      </c>
      <c r="AE69" s="748">
        <f>'gadu šķirošana'!AF38*'gadu šķirošana'!AF$75</f>
        <v>14080</v>
      </c>
      <c r="AF69" s="748">
        <f>'gadu šķirošana'!AG38*'gadu šķirošana'!AG$75</f>
        <v>14400</v>
      </c>
      <c r="AG69" s="748">
        <f>'gadu šķirošana'!AH38*'gadu šķirošana'!AH$75</f>
        <v>14720</v>
      </c>
      <c r="AH69" s="748">
        <f>'gadu šķirošana'!AI38*'gadu šķirošana'!AI$75</f>
        <v>15040</v>
      </c>
      <c r="AI69" s="748">
        <f>'gadu šķirošana'!AJ38*'gadu šķirošana'!AJ$75</f>
        <v>15360</v>
      </c>
    </row>
    <row r="70" spans="1:35" s="188" customFormat="1" ht="12.75" x14ac:dyDescent="0.2">
      <c r="A70" s="275" t="s">
        <v>71</v>
      </c>
      <c r="B70" s="869">
        <f>SUM(B71:B75)</f>
        <v>171072.78999999998</v>
      </c>
      <c r="C70" s="869">
        <f t="shared" ref="C70:AI70" si="66">SUM(C71:C75)</f>
        <v>176204.97370000003</v>
      </c>
      <c r="D70" s="869">
        <f t="shared" si="66"/>
        <v>184800</v>
      </c>
      <c r="E70" s="869">
        <f t="shared" si="66"/>
        <v>188320</v>
      </c>
      <c r="F70" s="869">
        <f t="shared" si="66"/>
        <v>191840</v>
      </c>
      <c r="G70" s="869">
        <f t="shared" si="66"/>
        <v>195360</v>
      </c>
      <c r="H70" s="869">
        <f t="shared" si="66"/>
        <v>198880</v>
      </c>
      <c r="I70" s="869">
        <f t="shared" si="66"/>
        <v>202400</v>
      </c>
      <c r="J70" s="869">
        <f t="shared" si="66"/>
        <v>205920</v>
      </c>
      <c r="K70" s="869">
        <f t="shared" si="66"/>
        <v>209440</v>
      </c>
      <c r="L70" s="869">
        <f t="shared" si="66"/>
        <v>212960</v>
      </c>
      <c r="M70" s="869">
        <f t="shared" si="66"/>
        <v>216480</v>
      </c>
      <c r="N70" s="869">
        <f t="shared" si="66"/>
        <v>220000</v>
      </c>
      <c r="O70" s="869">
        <f t="shared" si="66"/>
        <v>225280</v>
      </c>
      <c r="P70" s="869">
        <f t="shared" si="66"/>
        <v>230560</v>
      </c>
      <c r="Q70" s="869">
        <f t="shared" si="66"/>
        <v>235840</v>
      </c>
      <c r="R70" s="869">
        <f t="shared" si="66"/>
        <v>241120</v>
      </c>
      <c r="S70" s="869">
        <f t="shared" si="66"/>
        <v>246400</v>
      </c>
      <c r="T70" s="869">
        <f t="shared" si="66"/>
        <v>251680</v>
      </c>
      <c r="U70" s="869">
        <f t="shared" si="66"/>
        <v>256960</v>
      </c>
      <c r="V70" s="869">
        <f t="shared" si="66"/>
        <v>262240</v>
      </c>
      <c r="W70" s="869">
        <f t="shared" si="66"/>
        <v>267520</v>
      </c>
      <c r="X70" s="869">
        <f t="shared" si="66"/>
        <v>272800</v>
      </c>
      <c r="Y70" s="869">
        <f t="shared" si="66"/>
        <v>278080</v>
      </c>
      <c r="Z70" s="869">
        <f t="shared" si="66"/>
        <v>283360</v>
      </c>
      <c r="AA70" s="869">
        <f t="shared" si="66"/>
        <v>288640</v>
      </c>
      <c r="AB70" s="869">
        <f t="shared" si="66"/>
        <v>293920</v>
      </c>
      <c r="AC70" s="869">
        <f t="shared" si="66"/>
        <v>299200</v>
      </c>
      <c r="AD70" s="869">
        <f t="shared" si="66"/>
        <v>304480</v>
      </c>
      <c r="AE70" s="869">
        <f t="shared" si="66"/>
        <v>309760</v>
      </c>
      <c r="AF70" s="869">
        <f t="shared" si="66"/>
        <v>316800</v>
      </c>
      <c r="AG70" s="869">
        <f t="shared" si="66"/>
        <v>323840</v>
      </c>
      <c r="AH70" s="869">
        <f t="shared" si="66"/>
        <v>330880</v>
      </c>
      <c r="AI70" s="869">
        <f t="shared" si="66"/>
        <v>337920</v>
      </c>
    </row>
    <row r="71" spans="1:35" s="267" customFormat="1" ht="12.75" x14ac:dyDescent="0.2">
      <c r="A71" s="273" t="s">
        <v>72</v>
      </c>
      <c r="B71" s="748">
        <f>'gadu šķirošana'!C49</f>
        <v>27445.74</v>
      </c>
      <c r="C71" s="748">
        <f>'gadu šķirošana'!D49*'gadu šķirošana'!D$75</f>
        <v>28269.112200000003</v>
      </c>
      <c r="D71" s="748">
        <f>'gadu šķirošana'!E49*'gadu šķirošana'!E$75</f>
        <v>31500</v>
      </c>
      <c r="E71" s="748">
        <f>'gadu šķirošana'!F49*'gadu šķirošana'!F$75</f>
        <v>32100.000000000004</v>
      </c>
      <c r="F71" s="748">
        <f>'gadu šķirošana'!G49*'gadu šķirošana'!G$75</f>
        <v>32700.000000000004</v>
      </c>
      <c r="G71" s="748">
        <f>'gadu šķirošana'!H49*'gadu šķirošana'!H$75</f>
        <v>33300</v>
      </c>
      <c r="H71" s="748">
        <f>'gadu šķirošana'!I49*'gadu šķirošana'!I$75</f>
        <v>33900</v>
      </c>
      <c r="I71" s="748">
        <f>'gadu šķirošana'!J49*'gadu šķirošana'!J$75</f>
        <v>34500</v>
      </c>
      <c r="J71" s="748">
        <f>'gadu šķirošana'!K49*'gadu šķirošana'!K$75</f>
        <v>35100</v>
      </c>
      <c r="K71" s="748">
        <f>'gadu šķirošana'!L49*'gadu šķirošana'!L$75</f>
        <v>35700</v>
      </c>
      <c r="L71" s="748">
        <f>'gadu šķirošana'!M49*'gadu šķirošana'!M$75</f>
        <v>36300</v>
      </c>
      <c r="M71" s="748">
        <f>'gadu šķirošana'!N49*'gadu šķirošana'!N$75</f>
        <v>36900</v>
      </c>
      <c r="N71" s="748">
        <f>'gadu šķirošana'!O49*'gadu šķirošana'!O$75</f>
        <v>37500</v>
      </c>
      <c r="O71" s="748">
        <f>'gadu šķirošana'!P49*'gadu šķirošana'!P$75</f>
        <v>38400</v>
      </c>
      <c r="P71" s="748">
        <f>'gadu šķirošana'!Q49*'gadu šķirošana'!Q$75</f>
        <v>39300</v>
      </c>
      <c r="Q71" s="748">
        <f>'gadu šķirošana'!R49*'gadu šķirošana'!R$75</f>
        <v>40200</v>
      </c>
      <c r="R71" s="748">
        <f>'gadu šķirošana'!S49*'gadu šķirošana'!S$75</f>
        <v>41100</v>
      </c>
      <c r="S71" s="748">
        <f>'gadu šķirošana'!T49*'gadu šķirošana'!T$75</f>
        <v>42000</v>
      </c>
      <c r="T71" s="748">
        <f>'gadu šķirošana'!U49*'gadu šķirošana'!U$75</f>
        <v>42900</v>
      </c>
      <c r="U71" s="748">
        <f>'gadu šķirošana'!V49*'gadu šķirošana'!V$75</f>
        <v>43800</v>
      </c>
      <c r="V71" s="748">
        <f>'gadu šķirošana'!W49*'gadu šķirošana'!W$75</f>
        <v>44700</v>
      </c>
      <c r="W71" s="748">
        <f>'gadu šķirošana'!X49*'gadu šķirošana'!X$75</f>
        <v>45600</v>
      </c>
      <c r="X71" s="748">
        <f>'gadu šķirošana'!Y49*'gadu šķirošana'!Y$75</f>
        <v>46500</v>
      </c>
      <c r="Y71" s="748">
        <f>'gadu šķirošana'!Z49*'gadu šķirošana'!Z$75</f>
        <v>47400</v>
      </c>
      <c r="Z71" s="748">
        <f>'gadu šķirošana'!AA49*'gadu šķirošana'!AA$75</f>
        <v>48300</v>
      </c>
      <c r="AA71" s="748">
        <f>'gadu šķirošana'!AB49*'gadu šķirošana'!AB$75</f>
        <v>49200</v>
      </c>
      <c r="AB71" s="748">
        <f>'gadu šķirošana'!AC49*'gadu šķirošana'!AC$75</f>
        <v>50100</v>
      </c>
      <c r="AC71" s="748">
        <f>'gadu šķirošana'!AD49*'gadu šķirošana'!AD$75</f>
        <v>51000</v>
      </c>
      <c r="AD71" s="748">
        <f>'gadu šķirošana'!AE49*'gadu šķirošana'!AE$75</f>
        <v>51900</v>
      </c>
      <c r="AE71" s="748">
        <f>'gadu šķirošana'!AF49*'gadu šķirošana'!AF$75</f>
        <v>52800</v>
      </c>
      <c r="AF71" s="748">
        <f>'gadu šķirošana'!AG49*'gadu šķirošana'!AG$75</f>
        <v>54000</v>
      </c>
      <c r="AG71" s="748">
        <f>'gadu šķirošana'!AH49*'gadu šķirošana'!AH$75</f>
        <v>55200</v>
      </c>
      <c r="AH71" s="748">
        <f>'gadu šķirošana'!AI49*'gadu šķirošana'!AI$75</f>
        <v>56400</v>
      </c>
      <c r="AI71" s="748">
        <f>'gadu šķirošana'!AJ49*'gadu šķirošana'!AJ$75</f>
        <v>57600</v>
      </c>
    </row>
    <row r="72" spans="1:35" s="267" customFormat="1" ht="12.75" x14ac:dyDescent="0.2">
      <c r="A72" s="274" t="s">
        <v>73</v>
      </c>
      <c r="B72" s="748">
        <f>'gadu šķirošana'!C50</f>
        <v>62115</v>
      </c>
      <c r="C72" s="748">
        <f>'gadu šķirošana'!D50*'gadu šķirošana'!D$75</f>
        <v>63978.450000000004</v>
      </c>
      <c r="D72" s="748">
        <f>'gadu šķirošana'!E50*'gadu šķirošana'!E$75</f>
        <v>66150</v>
      </c>
      <c r="E72" s="748">
        <f>'gadu šķirošana'!F50*'gadu šķirošana'!F$75</f>
        <v>67410</v>
      </c>
      <c r="F72" s="748">
        <f>'gadu šķirošana'!G50*'gadu šķirošana'!G$75</f>
        <v>68670</v>
      </c>
      <c r="G72" s="748">
        <f>'gadu šķirošana'!H50*'gadu šķirošana'!H$75</f>
        <v>69930</v>
      </c>
      <c r="H72" s="748">
        <f>'gadu šķirošana'!I50*'gadu šķirošana'!I$75</f>
        <v>71190</v>
      </c>
      <c r="I72" s="748">
        <f>'gadu šķirošana'!J50*'gadu šķirošana'!J$75</f>
        <v>72450</v>
      </c>
      <c r="J72" s="748">
        <f>'gadu šķirošana'!K50*'gadu šķirošana'!K$75</f>
        <v>73710</v>
      </c>
      <c r="K72" s="748">
        <f>'gadu šķirošana'!L50*'gadu šķirošana'!L$75</f>
        <v>74970</v>
      </c>
      <c r="L72" s="748">
        <f>'gadu šķirošana'!M50*'gadu šķirošana'!M$75</f>
        <v>76230</v>
      </c>
      <c r="M72" s="748">
        <f>'gadu šķirošana'!N50*'gadu šķirošana'!N$75</f>
        <v>77490</v>
      </c>
      <c r="N72" s="748">
        <f>'gadu šķirošana'!O50*'gadu šķirošana'!O$75</f>
        <v>78750</v>
      </c>
      <c r="O72" s="748">
        <f>'gadu šķirošana'!P50*'gadu šķirošana'!P$75</f>
        <v>80640</v>
      </c>
      <c r="P72" s="748">
        <f>'gadu šķirošana'!Q50*'gadu šķirošana'!Q$75</f>
        <v>82530</v>
      </c>
      <c r="Q72" s="748">
        <f>'gadu šķirošana'!R50*'gadu šķirošana'!R$75</f>
        <v>84420</v>
      </c>
      <c r="R72" s="748">
        <f>'gadu šķirošana'!S50*'gadu šķirošana'!S$75</f>
        <v>86310</v>
      </c>
      <c r="S72" s="748">
        <f>'gadu šķirošana'!T50*'gadu šķirošana'!T$75</f>
        <v>88200</v>
      </c>
      <c r="T72" s="748">
        <f>'gadu šķirošana'!U50*'gadu šķirošana'!U$75</f>
        <v>90090</v>
      </c>
      <c r="U72" s="748">
        <f>'gadu šķirošana'!V50*'gadu šķirošana'!V$75</f>
        <v>91980</v>
      </c>
      <c r="V72" s="748">
        <f>'gadu šķirošana'!W50*'gadu šķirošana'!W$75</f>
        <v>93870</v>
      </c>
      <c r="W72" s="748">
        <f>'gadu šķirošana'!X50*'gadu šķirošana'!X$75</f>
        <v>95760</v>
      </c>
      <c r="X72" s="748">
        <f>'gadu šķirošana'!Y50*'gadu šķirošana'!Y$75</f>
        <v>97650</v>
      </c>
      <c r="Y72" s="748">
        <f>'gadu šķirošana'!Z50*'gadu šķirošana'!Z$75</f>
        <v>99540</v>
      </c>
      <c r="Z72" s="748">
        <f>'gadu šķirošana'!AA50*'gadu šķirošana'!AA$75</f>
        <v>101430</v>
      </c>
      <c r="AA72" s="748">
        <f>'gadu šķirošana'!AB50*'gadu šķirošana'!AB$75</f>
        <v>103320</v>
      </c>
      <c r="AB72" s="748">
        <f>'gadu šķirošana'!AC50*'gadu šķirošana'!AC$75</f>
        <v>105210</v>
      </c>
      <c r="AC72" s="748">
        <f>'gadu šķirošana'!AD50*'gadu šķirošana'!AD$75</f>
        <v>107100</v>
      </c>
      <c r="AD72" s="748">
        <f>'gadu šķirošana'!AE50*'gadu šķirošana'!AE$75</f>
        <v>108990</v>
      </c>
      <c r="AE72" s="748">
        <f>'gadu šķirošana'!AF50*'gadu šķirošana'!AF$75</f>
        <v>110880</v>
      </c>
      <c r="AF72" s="748">
        <f>'gadu šķirošana'!AG50*'gadu šķirošana'!AG$75</f>
        <v>113400</v>
      </c>
      <c r="AG72" s="748">
        <f>'gadu šķirošana'!AH50*'gadu šķirošana'!AH$75</f>
        <v>115920</v>
      </c>
      <c r="AH72" s="748">
        <f>'gadu šķirošana'!AI50*'gadu šķirošana'!AI$75</f>
        <v>118440</v>
      </c>
      <c r="AI72" s="748">
        <f>'gadu šķirošana'!AJ50*'gadu šķirošana'!AJ$75</f>
        <v>120960</v>
      </c>
    </row>
    <row r="73" spans="1:35" s="267" customFormat="1" ht="12.75" x14ac:dyDescent="0.2">
      <c r="A73" s="274" t="s">
        <v>74</v>
      </c>
      <c r="B73" s="748">
        <f>'gadu šķirošana'!C51</f>
        <v>1508.94</v>
      </c>
      <c r="C73" s="748">
        <f>'gadu šķirošana'!D51*'gadu šķirošana'!D$75</f>
        <v>1554.2082</v>
      </c>
      <c r="D73" s="748">
        <f>'gadu šķirošana'!E51*'gadu šķirošana'!E$75</f>
        <v>2100</v>
      </c>
      <c r="E73" s="748">
        <f>'gadu šķirošana'!F51*'gadu šķirošana'!F$75</f>
        <v>2140</v>
      </c>
      <c r="F73" s="748">
        <f>'gadu šķirošana'!G51*'gadu šķirošana'!G$75</f>
        <v>2180</v>
      </c>
      <c r="G73" s="748">
        <f>'gadu šķirošana'!H51*'gadu šķirošana'!H$75</f>
        <v>2220</v>
      </c>
      <c r="H73" s="748">
        <f>'gadu šķirošana'!I51*'gadu šķirošana'!I$75</f>
        <v>2260</v>
      </c>
      <c r="I73" s="748">
        <f>'gadu šķirošana'!J51*'gadu šķirošana'!J$75</f>
        <v>2300</v>
      </c>
      <c r="J73" s="748">
        <f>'gadu šķirošana'!K51*'gadu šķirošana'!K$75</f>
        <v>2340</v>
      </c>
      <c r="K73" s="748">
        <f>'gadu šķirošana'!L51*'gadu šķirošana'!L$75</f>
        <v>2380</v>
      </c>
      <c r="L73" s="748">
        <f>'gadu šķirošana'!M51*'gadu šķirošana'!M$75</f>
        <v>2420</v>
      </c>
      <c r="M73" s="748">
        <f>'gadu šķirošana'!N51*'gadu šķirošana'!N$75</f>
        <v>2460</v>
      </c>
      <c r="N73" s="748">
        <f>'gadu šķirošana'!O51*'gadu šķirošana'!O$75</f>
        <v>2500</v>
      </c>
      <c r="O73" s="748">
        <f>'gadu šķirošana'!P51*'gadu šķirošana'!P$75</f>
        <v>2560</v>
      </c>
      <c r="P73" s="748">
        <f>'gadu šķirošana'!Q51*'gadu šķirošana'!Q$75</f>
        <v>2620</v>
      </c>
      <c r="Q73" s="748">
        <f>'gadu šķirošana'!R51*'gadu šķirošana'!R$75</f>
        <v>2680</v>
      </c>
      <c r="R73" s="748">
        <f>'gadu šķirošana'!S51*'gadu šķirošana'!S$75</f>
        <v>2740</v>
      </c>
      <c r="S73" s="748">
        <f>'gadu šķirošana'!T51*'gadu šķirošana'!T$75</f>
        <v>2800</v>
      </c>
      <c r="T73" s="748">
        <f>'gadu šķirošana'!U51*'gadu šķirošana'!U$75</f>
        <v>2860</v>
      </c>
      <c r="U73" s="748">
        <f>'gadu šķirošana'!V51*'gadu šķirošana'!V$75</f>
        <v>2920</v>
      </c>
      <c r="V73" s="748">
        <f>'gadu šķirošana'!W51*'gadu šķirošana'!W$75</f>
        <v>2980</v>
      </c>
      <c r="W73" s="748">
        <f>'gadu šķirošana'!X51*'gadu šķirošana'!X$75</f>
        <v>3040</v>
      </c>
      <c r="X73" s="748">
        <f>'gadu šķirošana'!Y51*'gadu šķirošana'!Y$75</f>
        <v>3100</v>
      </c>
      <c r="Y73" s="748">
        <f>'gadu šķirošana'!Z51*'gadu šķirošana'!Z$75</f>
        <v>3160</v>
      </c>
      <c r="Z73" s="748">
        <f>'gadu šķirošana'!AA51*'gadu šķirošana'!AA$75</f>
        <v>3220</v>
      </c>
      <c r="AA73" s="748">
        <f>'gadu šķirošana'!AB51*'gadu šķirošana'!AB$75</f>
        <v>3280</v>
      </c>
      <c r="AB73" s="748">
        <f>'gadu šķirošana'!AC51*'gadu šķirošana'!AC$75</f>
        <v>3340</v>
      </c>
      <c r="AC73" s="748">
        <f>'gadu šķirošana'!AD51*'gadu šķirošana'!AD$75</f>
        <v>3400</v>
      </c>
      <c r="AD73" s="748">
        <f>'gadu šķirošana'!AE51*'gadu šķirošana'!AE$75</f>
        <v>3460</v>
      </c>
      <c r="AE73" s="748">
        <f>'gadu šķirošana'!AF51*'gadu šķirošana'!AF$75</f>
        <v>3520</v>
      </c>
      <c r="AF73" s="748">
        <f>'gadu šķirošana'!AG51*'gadu šķirošana'!AG$75</f>
        <v>3600</v>
      </c>
      <c r="AG73" s="748">
        <f>'gadu šķirošana'!AH51*'gadu šķirošana'!AH$75</f>
        <v>3680</v>
      </c>
      <c r="AH73" s="748">
        <f>'gadu šķirošana'!AI51*'gadu šķirošana'!AI$75</f>
        <v>3760</v>
      </c>
      <c r="AI73" s="748">
        <f>'gadu šķirošana'!AJ51*'gadu šķirošana'!AJ$75</f>
        <v>3840</v>
      </c>
    </row>
    <row r="74" spans="1:35" s="267" customFormat="1" ht="12.75" x14ac:dyDescent="0.2">
      <c r="A74" s="274" t="s">
        <v>75</v>
      </c>
      <c r="B74" s="748">
        <f>'gadu šķirošana'!C52</f>
        <v>77618.5</v>
      </c>
      <c r="C74" s="748">
        <f>'gadu šķirošana'!D52*'gadu šķirošana'!D$75</f>
        <v>79947.055000000008</v>
      </c>
      <c r="D74" s="748">
        <f>'gadu šķirošana'!E52*'gadu šķirošana'!E$75</f>
        <v>81900</v>
      </c>
      <c r="E74" s="748">
        <f>'gadu šķirošana'!F52*'gadu šķirošana'!F$75</f>
        <v>83460</v>
      </c>
      <c r="F74" s="748">
        <f>'gadu šķirošana'!G52*'gadu šķirošana'!G$75</f>
        <v>85020</v>
      </c>
      <c r="G74" s="748">
        <f>'gadu šķirošana'!H52*'gadu šķirošana'!H$75</f>
        <v>86580.000000000015</v>
      </c>
      <c r="H74" s="748">
        <f>'gadu šķirošana'!I52*'gadu šķirošana'!I$75</f>
        <v>88139.999999999985</v>
      </c>
      <c r="I74" s="748">
        <f>'gadu šķirošana'!J52*'gadu šķirošana'!J$75</f>
        <v>89700</v>
      </c>
      <c r="J74" s="748">
        <f>'gadu šķirošana'!K52*'gadu šķirošana'!K$75</f>
        <v>91260</v>
      </c>
      <c r="K74" s="748">
        <f>'gadu šķirošana'!L52*'gadu šķirošana'!L$75</f>
        <v>92820</v>
      </c>
      <c r="L74" s="748">
        <f>'gadu šķirošana'!M52*'gadu šķirošana'!M$75</f>
        <v>94380</v>
      </c>
      <c r="M74" s="748">
        <f>'gadu šķirošana'!N52*'gadu šķirošana'!N$75</f>
        <v>95940</v>
      </c>
      <c r="N74" s="748">
        <f>'gadu šķirošana'!O52*'gadu šķirošana'!O$75</f>
        <v>97500</v>
      </c>
      <c r="O74" s="748">
        <f>'gadu šķirošana'!P52*'gadu šķirošana'!P$75</f>
        <v>99840</v>
      </c>
      <c r="P74" s="748">
        <f>'gadu šķirošana'!Q52*'gadu šķirošana'!Q$75</f>
        <v>102180</v>
      </c>
      <c r="Q74" s="748">
        <f>'gadu šķirošana'!R52*'gadu šķirošana'!R$75</f>
        <v>104520</v>
      </c>
      <c r="R74" s="748">
        <f>'gadu šķirošana'!S52*'gadu šķirošana'!S$75</f>
        <v>106860.00000000001</v>
      </c>
      <c r="S74" s="748">
        <f>'gadu šķirošana'!T52*'gadu šķirošana'!T$75</f>
        <v>109200</v>
      </c>
      <c r="T74" s="748">
        <f>'gadu šķirošana'!U52*'gadu šķirošana'!U$75</f>
        <v>111540</v>
      </c>
      <c r="U74" s="748">
        <f>'gadu šķirošana'!V52*'gadu šķirošana'!V$75</f>
        <v>113880</v>
      </c>
      <c r="V74" s="748">
        <f>'gadu šķirošana'!W52*'gadu šķirošana'!W$75</f>
        <v>116220</v>
      </c>
      <c r="W74" s="748">
        <f>'gadu šķirošana'!X52*'gadu šķirošana'!X$75</f>
        <v>118560</v>
      </c>
      <c r="X74" s="748">
        <f>'gadu šķirošana'!Y52*'gadu šķirošana'!Y$75</f>
        <v>120900</v>
      </c>
      <c r="Y74" s="748">
        <f>'gadu šķirošana'!Z52*'gadu šķirošana'!Z$75</f>
        <v>123240</v>
      </c>
      <c r="Z74" s="748">
        <f>'gadu šķirošana'!AA52*'gadu šķirošana'!AA$75</f>
        <v>125580.00000000001</v>
      </c>
      <c r="AA74" s="748">
        <f>'gadu šķirošana'!AB52*'gadu šķirošana'!AB$75</f>
        <v>127919.99999999999</v>
      </c>
      <c r="AB74" s="748">
        <f>'gadu šķirošana'!AC52*'gadu šķirošana'!AC$75</f>
        <v>130260</v>
      </c>
      <c r="AC74" s="748">
        <f>'gadu šķirošana'!AD52*'gadu šķirošana'!AD$75</f>
        <v>132600</v>
      </c>
      <c r="AD74" s="748">
        <f>'gadu šķirošana'!AE52*'gadu šķirošana'!AE$75</f>
        <v>134940</v>
      </c>
      <c r="AE74" s="748">
        <f>'gadu šķirošana'!AF52*'gadu šķirošana'!AF$75</f>
        <v>137280</v>
      </c>
      <c r="AF74" s="748">
        <f>'gadu šķirošana'!AG52*'gadu šķirošana'!AG$75</f>
        <v>140400</v>
      </c>
      <c r="AG74" s="748">
        <f>'gadu šķirošana'!AH52*'gadu šķirošana'!AH$75</f>
        <v>143520</v>
      </c>
      <c r="AH74" s="748">
        <f>'gadu šķirošana'!AI52*'gadu šķirošana'!AI$75</f>
        <v>146640</v>
      </c>
      <c r="AI74" s="748">
        <f>'gadu šķirošana'!AJ52*'gadu šķirošana'!AJ$75</f>
        <v>149760</v>
      </c>
    </row>
    <row r="75" spans="1:35" s="267" customFormat="1" ht="12.75" x14ac:dyDescent="0.2">
      <c r="A75" s="274" t="s">
        <v>622</v>
      </c>
      <c r="B75" s="748">
        <f>'gadu šķirošana'!C53</f>
        <v>2384.61</v>
      </c>
      <c r="C75" s="748">
        <f>'gadu šķirošana'!D53*'gadu šķirošana'!D$75</f>
        <v>2456.1483000000003</v>
      </c>
      <c r="D75" s="748">
        <f>'gadu šķirošana'!E53*'gadu šķirošana'!E$75</f>
        <v>3150</v>
      </c>
      <c r="E75" s="748">
        <f>'gadu šķirošana'!F53*'gadu šķirošana'!F$75</f>
        <v>3210</v>
      </c>
      <c r="F75" s="748">
        <f>'gadu šķirošana'!G53*'gadu šķirošana'!G$75</f>
        <v>3270.0000000000005</v>
      </c>
      <c r="G75" s="748">
        <f>'gadu šķirošana'!H53*'gadu šķirošana'!H$75</f>
        <v>3330.0000000000005</v>
      </c>
      <c r="H75" s="748">
        <f>'gadu šķirošana'!I53*'gadu šķirošana'!I$75</f>
        <v>3389.9999999999995</v>
      </c>
      <c r="I75" s="748">
        <f>'gadu šķirošana'!J53*'gadu šķirošana'!J$75</f>
        <v>3449.9999999999995</v>
      </c>
      <c r="J75" s="748">
        <f>'gadu šķirošana'!K53*'gadu šķirošana'!K$75</f>
        <v>3510</v>
      </c>
      <c r="K75" s="748">
        <f>'gadu šķirošana'!L53*'gadu šķirošana'!L$75</f>
        <v>3570</v>
      </c>
      <c r="L75" s="748">
        <f>'gadu šķirošana'!M53*'gadu šķirošana'!M$75</f>
        <v>3630</v>
      </c>
      <c r="M75" s="748">
        <f>'gadu šķirošana'!N53*'gadu šķirošana'!N$75</f>
        <v>3690</v>
      </c>
      <c r="N75" s="748">
        <f>'gadu šķirošana'!O53*'gadu šķirošana'!O$75</f>
        <v>3750</v>
      </c>
      <c r="O75" s="748">
        <f>'gadu šķirošana'!P53*'gadu šķirošana'!P$75</f>
        <v>3840</v>
      </c>
      <c r="P75" s="748">
        <f>'gadu šķirošana'!Q53*'gadu šķirošana'!Q$75</f>
        <v>3930</v>
      </c>
      <c r="Q75" s="748">
        <f>'gadu šķirošana'!R53*'gadu šķirošana'!R$75</f>
        <v>4020.0000000000005</v>
      </c>
      <c r="R75" s="748">
        <f>'gadu šķirošana'!S53*'gadu šķirošana'!S$75</f>
        <v>4110</v>
      </c>
      <c r="S75" s="748">
        <f>'gadu šķirošana'!T53*'gadu šķirošana'!T$75</f>
        <v>4200</v>
      </c>
      <c r="T75" s="748">
        <f>'gadu šķirošana'!U53*'gadu šķirošana'!U$75</f>
        <v>4290</v>
      </c>
      <c r="U75" s="748">
        <f>'gadu šķirošana'!V53*'gadu šķirošana'!V$75</f>
        <v>4380</v>
      </c>
      <c r="V75" s="748">
        <f>'gadu šķirošana'!W53*'gadu šķirošana'!W$75</f>
        <v>4470</v>
      </c>
      <c r="W75" s="748">
        <f>'gadu šķirošana'!X53*'gadu šķirošana'!X$75</f>
        <v>4560</v>
      </c>
      <c r="X75" s="748">
        <f>'gadu šķirošana'!Y53*'gadu šķirošana'!Y$75</f>
        <v>4650</v>
      </c>
      <c r="Y75" s="748">
        <f>'gadu šķirošana'!Z53*'gadu šķirošana'!Z$75</f>
        <v>4740</v>
      </c>
      <c r="Z75" s="748">
        <f>'gadu šķirošana'!AA53*'gadu šķirošana'!AA$75</f>
        <v>4830</v>
      </c>
      <c r="AA75" s="748">
        <f>'gadu šķirošana'!AB53*'gadu šķirošana'!AB$75</f>
        <v>4920</v>
      </c>
      <c r="AB75" s="748">
        <f>'gadu šķirošana'!AC53*'gadu šķirošana'!AC$75</f>
        <v>5010</v>
      </c>
      <c r="AC75" s="748">
        <f>'gadu šķirošana'!AD53*'gadu šķirošana'!AD$75</f>
        <v>5100</v>
      </c>
      <c r="AD75" s="748">
        <f>'gadu šķirošana'!AE53*'gadu šķirošana'!AE$75</f>
        <v>5190</v>
      </c>
      <c r="AE75" s="748">
        <f>'gadu šķirošana'!AF53*'gadu šķirošana'!AF$75</f>
        <v>5280</v>
      </c>
      <c r="AF75" s="748">
        <f>'gadu šķirošana'!AG53*'gadu šķirošana'!AG$75</f>
        <v>5400</v>
      </c>
      <c r="AG75" s="748">
        <f>'gadu šķirošana'!AH53*'gadu šķirošana'!AH$75</f>
        <v>5520</v>
      </c>
      <c r="AH75" s="748">
        <f>'gadu šķirošana'!AI53*'gadu šķirošana'!AI$75</f>
        <v>5640</v>
      </c>
      <c r="AI75" s="748">
        <f>'gadu šķirošana'!AJ53*'gadu šķirošana'!AJ$75</f>
        <v>5760</v>
      </c>
    </row>
    <row r="76" spans="1:35" s="260" customFormat="1" ht="12.75" x14ac:dyDescent="0.2">
      <c r="A76" s="264" t="s">
        <v>76</v>
      </c>
      <c r="B76" s="711">
        <f>SUM(B70,B64)</f>
        <v>329276.11</v>
      </c>
      <c r="C76" s="711">
        <f t="shared" ref="C76:AI76" si="67">SUM(C70,C64)</f>
        <v>339154.3933</v>
      </c>
      <c r="D76" s="711">
        <f t="shared" si="67"/>
        <v>358050</v>
      </c>
      <c r="E76" s="711">
        <f t="shared" si="67"/>
        <v>364870</v>
      </c>
      <c r="F76" s="711">
        <f t="shared" si="67"/>
        <v>371690</v>
      </c>
      <c r="G76" s="711">
        <f t="shared" si="67"/>
        <v>378510</v>
      </c>
      <c r="H76" s="711">
        <f t="shared" si="67"/>
        <v>385330</v>
      </c>
      <c r="I76" s="711">
        <f t="shared" si="67"/>
        <v>392150</v>
      </c>
      <c r="J76" s="711">
        <f t="shared" si="67"/>
        <v>398970</v>
      </c>
      <c r="K76" s="711">
        <f t="shared" si="67"/>
        <v>405790</v>
      </c>
      <c r="L76" s="711">
        <f t="shared" si="67"/>
        <v>412610</v>
      </c>
      <c r="M76" s="711">
        <f t="shared" si="67"/>
        <v>419430</v>
      </c>
      <c r="N76" s="711">
        <f t="shared" si="67"/>
        <v>426250</v>
      </c>
      <c r="O76" s="711">
        <f t="shared" si="67"/>
        <v>436480</v>
      </c>
      <c r="P76" s="711">
        <f t="shared" si="67"/>
        <v>446710</v>
      </c>
      <c r="Q76" s="711">
        <f t="shared" si="67"/>
        <v>456940</v>
      </c>
      <c r="R76" s="711">
        <f t="shared" si="67"/>
        <v>467170</v>
      </c>
      <c r="S76" s="711">
        <f t="shared" si="67"/>
        <v>477400</v>
      </c>
      <c r="T76" s="711">
        <f t="shared" si="67"/>
        <v>487630</v>
      </c>
      <c r="U76" s="711">
        <f t="shared" si="67"/>
        <v>497860</v>
      </c>
      <c r="V76" s="711">
        <f t="shared" si="67"/>
        <v>508090</v>
      </c>
      <c r="W76" s="711">
        <f t="shared" si="67"/>
        <v>518320</v>
      </c>
      <c r="X76" s="711">
        <f t="shared" si="67"/>
        <v>528550</v>
      </c>
      <c r="Y76" s="711">
        <f t="shared" si="67"/>
        <v>538780</v>
      </c>
      <c r="Z76" s="711">
        <f t="shared" si="67"/>
        <v>549010</v>
      </c>
      <c r="AA76" s="711">
        <f t="shared" si="67"/>
        <v>559240</v>
      </c>
      <c r="AB76" s="711">
        <f t="shared" si="67"/>
        <v>569470</v>
      </c>
      <c r="AC76" s="711">
        <f t="shared" si="67"/>
        <v>579700</v>
      </c>
      <c r="AD76" s="711">
        <f t="shared" si="67"/>
        <v>589930</v>
      </c>
      <c r="AE76" s="711">
        <f t="shared" si="67"/>
        <v>600160</v>
      </c>
      <c r="AF76" s="711">
        <f t="shared" si="67"/>
        <v>613800</v>
      </c>
      <c r="AG76" s="711">
        <f t="shared" si="67"/>
        <v>627440</v>
      </c>
      <c r="AH76" s="711">
        <f t="shared" si="67"/>
        <v>641080</v>
      </c>
      <c r="AI76" s="711">
        <f t="shared" si="67"/>
        <v>654720</v>
      </c>
    </row>
    <row r="77" spans="1:35" s="260" customFormat="1" ht="12.75" x14ac:dyDescent="0.2">
      <c r="A77" s="265" t="s">
        <v>77</v>
      </c>
      <c r="B77" s="747">
        <f>SUM(B78:B80)</f>
        <v>73724.350000000006</v>
      </c>
      <c r="C77" s="747">
        <f t="shared" ref="C77:AI77" si="68">SUM(C78:C80)</f>
        <v>75936.08</v>
      </c>
      <c r="D77" s="747">
        <f t="shared" si="68"/>
        <v>78921.240000000005</v>
      </c>
      <c r="E77" s="747">
        <f t="shared" si="68"/>
        <v>81154.860000000015</v>
      </c>
      <c r="F77" s="747">
        <f t="shared" si="68"/>
        <v>82643.94</v>
      </c>
      <c r="G77" s="747">
        <f t="shared" si="68"/>
        <v>84133.02</v>
      </c>
      <c r="H77" s="747">
        <f t="shared" si="68"/>
        <v>85622.1</v>
      </c>
      <c r="I77" s="747">
        <f t="shared" si="68"/>
        <v>87111.18</v>
      </c>
      <c r="J77" s="747">
        <f t="shared" si="68"/>
        <v>88600.26</v>
      </c>
      <c r="K77" s="747">
        <f t="shared" si="68"/>
        <v>90089.34</v>
      </c>
      <c r="L77" s="747">
        <f t="shared" si="68"/>
        <v>92322.959999999992</v>
      </c>
      <c r="M77" s="747">
        <f t="shared" si="68"/>
        <v>94556.58</v>
      </c>
      <c r="N77" s="747">
        <f t="shared" si="68"/>
        <v>96790.2</v>
      </c>
      <c r="O77" s="747">
        <f t="shared" si="68"/>
        <v>99023.82</v>
      </c>
      <c r="P77" s="747">
        <f t="shared" si="68"/>
        <v>101257.44</v>
      </c>
      <c r="Q77" s="747">
        <f t="shared" si="68"/>
        <v>103491.06</v>
      </c>
      <c r="R77" s="747">
        <f t="shared" si="68"/>
        <v>105724.68</v>
      </c>
      <c r="S77" s="747">
        <f t="shared" si="68"/>
        <v>107958.3</v>
      </c>
      <c r="T77" s="747">
        <f t="shared" si="68"/>
        <v>110191.92</v>
      </c>
      <c r="U77" s="747">
        <f t="shared" si="68"/>
        <v>112425.54000000001</v>
      </c>
      <c r="V77" s="747">
        <f t="shared" si="68"/>
        <v>114659.16</v>
      </c>
      <c r="W77" s="747">
        <f t="shared" si="68"/>
        <v>116892.78</v>
      </c>
      <c r="X77" s="747">
        <f t="shared" si="68"/>
        <v>119126.39999999999</v>
      </c>
      <c r="Y77" s="747">
        <f t="shared" si="68"/>
        <v>121360.02</v>
      </c>
      <c r="Z77" s="747">
        <f t="shared" si="68"/>
        <v>123593.64</v>
      </c>
      <c r="AA77" s="747">
        <f t="shared" si="68"/>
        <v>125827.26</v>
      </c>
      <c r="AB77" s="747">
        <f t="shared" si="68"/>
        <v>128805.42</v>
      </c>
      <c r="AC77" s="747">
        <f t="shared" si="68"/>
        <v>131783.58000000002</v>
      </c>
      <c r="AD77" s="747">
        <f t="shared" si="68"/>
        <v>134761.74</v>
      </c>
      <c r="AE77" s="747">
        <f t="shared" si="68"/>
        <v>137739.9</v>
      </c>
      <c r="AF77" s="747">
        <f t="shared" si="68"/>
        <v>140718.06</v>
      </c>
      <c r="AG77" s="747">
        <f t="shared" si="68"/>
        <v>143696.22</v>
      </c>
      <c r="AH77" s="747">
        <f t="shared" si="68"/>
        <v>146674.38</v>
      </c>
      <c r="AI77" s="747">
        <f t="shared" si="68"/>
        <v>149652.53999999998</v>
      </c>
    </row>
    <row r="78" spans="1:35" s="260" customFormat="1" ht="12.75" x14ac:dyDescent="0.2">
      <c r="A78" s="263" t="s">
        <v>78</v>
      </c>
      <c r="B78" s="745">
        <f>'gadu šķirošana'!C44</f>
        <v>59412</v>
      </c>
      <c r="C78" s="745">
        <f>'gadu šķirošana'!D44*'gadu šķirošana'!D$77</f>
        <v>61194.36</v>
      </c>
      <c r="D78" s="746">
        <f>'gadu šķirošana'!E44*'gadu šķirošana'!E$77</f>
        <v>63600</v>
      </c>
      <c r="E78" s="746">
        <f>'gadu šķirošana'!F44*'gadu šķirošana'!F$77</f>
        <v>65400.000000000007</v>
      </c>
      <c r="F78" s="746">
        <f>'gadu šķirošana'!G44*'gadu šķirošana'!G$77</f>
        <v>66600</v>
      </c>
      <c r="G78" s="746">
        <f>'gadu šķirošana'!H44*'gadu šķirošana'!H$77</f>
        <v>67800</v>
      </c>
      <c r="H78" s="746">
        <f>'gadu šķirošana'!I44*'gadu šķirošana'!I$77</f>
        <v>69000</v>
      </c>
      <c r="I78" s="746">
        <f>'gadu šķirošana'!J44*'gadu šķirošana'!J$77</f>
        <v>70200</v>
      </c>
      <c r="J78" s="746">
        <f>'gadu šķirošana'!K44*'gadu šķirošana'!K$77</f>
        <v>71400</v>
      </c>
      <c r="K78" s="746">
        <f>'gadu šķirošana'!L44*'gadu šķirošana'!L$77</f>
        <v>72600</v>
      </c>
      <c r="L78" s="746">
        <f>'gadu šķirošana'!M44*'gadu šķirošana'!M$77</f>
        <v>74400</v>
      </c>
      <c r="M78" s="746">
        <f>'gadu šķirošana'!N44*'gadu šķirošana'!N$77</f>
        <v>76200</v>
      </c>
      <c r="N78" s="746">
        <f>'gadu šķirošana'!O44*'gadu šķirošana'!O$77</f>
        <v>78000</v>
      </c>
      <c r="O78" s="746">
        <f>'gadu šķirošana'!P44*'gadu šķirošana'!P$77</f>
        <v>79800</v>
      </c>
      <c r="P78" s="746">
        <f>'gadu šķirošana'!Q44*'gadu šķirošana'!Q$77</f>
        <v>81600</v>
      </c>
      <c r="Q78" s="746">
        <f>'gadu šķirošana'!R44*'gadu šķirošana'!R$77</f>
        <v>83400</v>
      </c>
      <c r="R78" s="746">
        <f>'gadu šķirošana'!S44*'gadu šķirošana'!S$77</f>
        <v>85200</v>
      </c>
      <c r="S78" s="746">
        <f>'gadu šķirošana'!T44*'gadu šķirošana'!T$77</f>
        <v>87000</v>
      </c>
      <c r="T78" s="746">
        <f>'gadu šķirošana'!U44*'gadu šķirošana'!U$77</f>
        <v>88800</v>
      </c>
      <c r="U78" s="746">
        <f>'gadu šķirošana'!V44*'gadu šķirošana'!V$77</f>
        <v>90600</v>
      </c>
      <c r="V78" s="746">
        <f>'gadu šķirošana'!W44*'gadu šķirošana'!W$77</f>
        <v>92400</v>
      </c>
      <c r="W78" s="746">
        <f>'gadu šķirošana'!X44*'gadu šķirošana'!X$77</f>
        <v>94200</v>
      </c>
      <c r="X78" s="746">
        <f>'gadu šķirošana'!Y44*'gadu šķirošana'!Y$77</f>
        <v>96000</v>
      </c>
      <c r="Y78" s="746">
        <f>'gadu šķirošana'!Z44*'gadu šķirošana'!Z$77</f>
        <v>97800</v>
      </c>
      <c r="Z78" s="746">
        <f>'gadu šķirošana'!AA44*'gadu šķirošana'!AA$77</f>
        <v>99600</v>
      </c>
      <c r="AA78" s="746">
        <f>'gadu šķirošana'!AB44*'gadu šķirošana'!AB$77</f>
        <v>101400</v>
      </c>
      <c r="AB78" s="746">
        <f>'gadu šķirošana'!AC44*'gadu šķirošana'!AC$77</f>
        <v>103800</v>
      </c>
      <c r="AC78" s="746">
        <f>'gadu šķirošana'!AD44*'gadu šķirošana'!AD$77</f>
        <v>106200</v>
      </c>
      <c r="AD78" s="746">
        <f>'gadu šķirošana'!AE44*'gadu šķirošana'!AE$77</f>
        <v>108600</v>
      </c>
      <c r="AE78" s="746">
        <f>'gadu šķirošana'!AF44*'gadu šķirošana'!AF$77</f>
        <v>111000</v>
      </c>
      <c r="AF78" s="746">
        <f>'gadu šķirošana'!AG44*'gadu šķirošana'!AG$77</f>
        <v>113400</v>
      </c>
      <c r="AG78" s="746">
        <f>'gadu šķirošana'!AH44*'gadu šķirošana'!AH$77</f>
        <v>115800</v>
      </c>
      <c r="AH78" s="746">
        <f>'gadu šķirošana'!AI44*'gadu šķirošana'!AI$77</f>
        <v>118200</v>
      </c>
      <c r="AI78" s="746">
        <f>'gadu šķirošana'!AJ44*'gadu šķirošana'!AJ$77</f>
        <v>120599.99999999999</v>
      </c>
    </row>
    <row r="79" spans="1:35" s="260" customFormat="1" ht="12.75" x14ac:dyDescent="0.2">
      <c r="A79" s="263" t="s">
        <v>79</v>
      </c>
      <c r="B79" s="745">
        <f>ROUND(B78*'Kopējie pieņēmumi'!E14,2)</f>
        <v>14312.35</v>
      </c>
      <c r="C79" s="745">
        <f>ROUND(C78*'Kopējie pieņēmumi'!F14,2)</f>
        <v>14741.72</v>
      </c>
      <c r="D79" s="746">
        <f>ROUND(D78*'Kopējie pieņēmumi'!G14,2)</f>
        <v>15321.24</v>
      </c>
      <c r="E79" s="746">
        <f>ROUND(E78*'Kopējie pieņēmumi'!H14,2)</f>
        <v>15754.86</v>
      </c>
      <c r="F79" s="746">
        <f>ROUND(F78*'Kopējie pieņēmumi'!I14,2)</f>
        <v>16043.94</v>
      </c>
      <c r="G79" s="746">
        <f>ROUND(G78*'Kopējie pieņēmumi'!J14,2)</f>
        <v>16333.02</v>
      </c>
      <c r="H79" s="746">
        <f>ROUND(H78*'Kopējie pieņēmumi'!K14,2)</f>
        <v>16622.099999999999</v>
      </c>
      <c r="I79" s="746">
        <f>ROUND(I78*'Kopējie pieņēmumi'!L14,2)</f>
        <v>16911.18</v>
      </c>
      <c r="J79" s="746">
        <f>ROUND(J78*'Kopējie pieņēmumi'!M14,2)</f>
        <v>17200.259999999998</v>
      </c>
      <c r="K79" s="746">
        <f>ROUND(K78*'Kopējie pieņēmumi'!N14,2)</f>
        <v>17489.34</v>
      </c>
      <c r="L79" s="746">
        <f>ROUND(L78*'Kopējie pieņēmumi'!O14,2)</f>
        <v>17922.96</v>
      </c>
      <c r="M79" s="746">
        <f>ROUND(M78*'Kopējie pieņēmumi'!P14,2)</f>
        <v>18356.580000000002</v>
      </c>
      <c r="N79" s="746">
        <f>ROUND(N78*'Kopējie pieņēmumi'!Q14,2)</f>
        <v>18790.2</v>
      </c>
      <c r="O79" s="746">
        <f>ROUND(O78*'Kopējie pieņēmumi'!R14,2)</f>
        <v>19223.82</v>
      </c>
      <c r="P79" s="746">
        <f>ROUND(P78*'Kopējie pieņēmumi'!S14,2)</f>
        <v>19657.439999999999</v>
      </c>
      <c r="Q79" s="746">
        <f>ROUND(Q78*'Kopējie pieņēmumi'!T14,2)</f>
        <v>20091.060000000001</v>
      </c>
      <c r="R79" s="746">
        <f>ROUND(R78*'Kopējie pieņēmumi'!U14,2)</f>
        <v>20524.68</v>
      </c>
      <c r="S79" s="746">
        <f>ROUND(S78*'Kopējie pieņēmumi'!V14,2)</f>
        <v>20958.3</v>
      </c>
      <c r="T79" s="746">
        <f>ROUND(T78*'Kopējie pieņēmumi'!W14,2)</f>
        <v>21391.919999999998</v>
      </c>
      <c r="U79" s="746">
        <f>ROUND(U78*'Kopējie pieņēmumi'!X14,2)</f>
        <v>21825.54</v>
      </c>
      <c r="V79" s="746">
        <f>ROUND(V78*'Kopējie pieņēmumi'!Y14,2)</f>
        <v>22259.16</v>
      </c>
      <c r="W79" s="746">
        <f>ROUND(W78*'Kopējie pieņēmumi'!Z14,2)</f>
        <v>22692.78</v>
      </c>
      <c r="X79" s="746">
        <f>ROUND(X78*'Kopējie pieņēmumi'!AA14,2)</f>
        <v>23126.400000000001</v>
      </c>
      <c r="Y79" s="746">
        <f>ROUND(Y78*'Kopējie pieņēmumi'!AB14,2)</f>
        <v>23560.02</v>
      </c>
      <c r="Z79" s="746">
        <f>ROUND(Z78*'Kopējie pieņēmumi'!AC14,2)</f>
        <v>23993.64</v>
      </c>
      <c r="AA79" s="746">
        <f>ROUND(AA78*'Kopējie pieņēmumi'!AD14,2)</f>
        <v>24427.26</v>
      </c>
      <c r="AB79" s="746">
        <f>ROUND(AB78*'Kopējie pieņēmumi'!AE14,2)</f>
        <v>25005.42</v>
      </c>
      <c r="AC79" s="746">
        <f>ROUND(AC78*'Kopējie pieņēmumi'!AF14,2)</f>
        <v>25583.58</v>
      </c>
      <c r="AD79" s="746">
        <f>ROUND(AD78*'Kopējie pieņēmumi'!AG14,2)</f>
        <v>26161.74</v>
      </c>
      <c r="AE79" s="746">
        <f>ROUND(AE78*'Kopējie pieņēmumi'!AH14,2)</f>
        <v>26739.9</v>
      </c>
      <c r="AF79" s="746">
        <f>ROUND(AF78*'Kopējie pieņēmumi'!AI14,2)</f>
        <v>27318.06</v>
      </c>
      <c r="AG79" s="746">
        <f>ROUND(AG78*'Kopējie pieņēmumi'!AJ14,2)</f>
        <v>27896.22</v>
      </c>
      <c r="AH79" s="746">
        <f>ROUND(AH78*'Kopējie pieņēmumi'!AK14,2)</f>
        <v>28474.38</v>
      </c>
      <c r="AI79" s="746">
        <f>ROUND(AI78*'Kopējie pieņēmumi'!AL14,2)</f>
        <v>29052.54</v>
      </c>
    </row>
    <row r="80" spans="1:35" s="260" customFormat="1" ht="12.75" x14ac:dyDescent="0.2">
      <c r="A80" s="263" t="s">
        <v>80</v>
      </c>
      <c r="B80" s="745">
        <f>'gadu šķirošana'!C46</f>
        <v>0</v>
      </c>
      <c r="C80" s="745">
        <f>'gadu šķirošana'!D46*'gadu šķirošana'!D$77</f>
        <v>0</v>
      </c>
      <c r="D80" s="746">
        <f>'gadu šķirošana'!E46*'gadu šķirošana'!E$77</f>
        <v>0</v>
      </c>
      <c r="E80" s="746">
        <f>'gadu šķirošana'!F46*'gadu šķirošana'!F$77</f>
        <v>0</v>
      </c>
      <c r="F80" s="746">
        <f>'gadu šķirošana'!G46*'gadu šķirošana'!G$77</f>
        <v>0</v>
      </c>
      <c r="G80" s="746">
        <f>'gadu šķirošana'!H46*'gadu šķirošana'!H$77</f>
        <v>0</v>
      </c>
      <c r="H80" s="746">
        <f>'gadu šķirošana'!I46*'gadu šķirošana'!I$77</f>
        <v>0</v>
      </c>
      <c r="I80" s="746">
        <f>'gadu šķirošana'!J46*'gadu šķirošana'!J$77</f>
        <v>0</v>
      </c>
      <c r="J80" s="746">
        <f>'gadu šķirošana'!K46*'gadu šķirošana'!K$77</f>
        <v>0</v>
      </c>
      <c r="K80" s="746">
        <f>'gadu šķirošana'!L46*'gadu šķirošana'!L$77</f>
        <v>0</v>
      </c>
      <c r="L80" s="746">
        <f>'gadu šķirošana'!M46*'gadu šķirošana'!M$77</f>
        <v>0</v>
      </c>
      <c r="M80" s="746">
        <f>'gadu šķirošana'!N46*'gadu šķirošana'!N$77</f>
        <v>0</v>
      </c>
      <c r="N80" s="746">
        <f>'gadu šķirošana'!O46*'gadu šķirošana'!O$77</f>
        <v>0</v>
      </c>
      <c r="O80" s="746">
        <f>'gadu šķirošana'!P46*'gadu šķirošana'!P$77</f>
        <v>0</v>
      </c>
      <c r="P80" s="746">
        <f>'gadu šķirošana'!Q46*'gadu šķirošana'!Q$77</f>
        <v>0</v>
      </c>
      <c r="Q80" s="746">
        <f>'gadu šķirošana'!R46*'gadu šķirošana'!R$77</f>
        <v>0</v>
      </c>
      <c r="R80" s="746">
        <f>'gadu šķirošana'!S46*'gadu šķirošana'!S$77</f>
        <v>0</v>
      </c>
      <c r="S80" s="746">
        <f>'gadu šķirošana'!T46*'gadu šķirošana'!T$77</f>
        <v>0</v>
      </c>
      <c r="T80" s="746">
        <f>'gadu šķirošana'!U46*'gadu šķirošana'!U$77</f>
        <v>0</v>
      </c>
      <c r="U80" s="746">
        <f>'gadu šķirošana'!V46*'gadu šķirošana'!V$77</f>
        <v>0</v>
      </c>
      <c r="V80" s="746">
        <f>'gadu šķirošana'!W46*'gadu šķirošana'!W$77</f>
        <v>0</v>
      </c>
      <c r="W80" s="746">
        <f>'gadu šķirošana'!X46*'gadu šķirošana'!X$77</f>
        <v>0</v>
      </c>
      <c r="X80" s="746">
        <f>'gadu šķirošana'!Y46*'gadu šķirošana'!Y$77</f>
        <v>0</v>
      </c>
      <c r="Y80" s="746">
        <f>'gadu šķirošana'!Z46*'gadu šķirošana'!Z$77</f>
        <v>0</v>
      </c>
      <c r="Z80" s="746">
        <f>'gadu šķirošana'!AA46*'gadu šķirošana'!AA$77</f>
        <v>0</v>
      </c>
      <c r="AA80" s="746">
        <f>'gadu šķirošana'!AB46*'gadu šķirošana'!AB$77</f>
        <v>0</v>
      </c>
      <c r="AB80" s="746">
        <f>'gadu šķirošana'!AC46*'gadu šķirošana'!AC$77</f>
        <v>0</v>
      </c>
      <c r="AC80" s="746">
        <f>'gadu šķirošana'!AD46*'gadu šķirošana'!AD$77</f>
        <v>0</v>
      </c>
      <c r="AD80" s="746">
        <f>'gadu šķirošana'!AE46*'gadu šķirošana'!AE$77</f>
        <v>0</v>
      </c>
      <c r="AE80" s="746">
        <f>'gadu šķirošana'!AF46*'gadu šķirošana'!AF$77</f>
        <v>0</v>
      </c>
      <c r="AF80" s="746">
        <f>'gadu šķirošana'!AG46*'gadu šķirošana'!AG$77</f>
        <v>0</v>
      </c>
      <c r="AG80" s="746">
        <f>'gadu šķirošana'!AH46*'gadu šķirošana'!AH$77</f>
        <v>0</v>
      </c>
      <c r="AH80" s="746">
        <f>'gadu šķirošana'!AI46*'gadu šķirošana'!AI$77</f>
        <v>0</v>
      </c>
      <c r="AI80" s="746">
        <f>'gadu šķirošana'!AJ46*'gadu šķirošana'!AJ$77</f>
        <v>0</v>
      </c>
    </row>
    <row r="81" spans="1:35" s="260" customFormat="1" ht="12.75" x14ac:dyDescent="0.2">
      <c r="A81" s="264" t="s">
        <v>81</v>
      </c>
      <c r="B81" s="747">
        <f>SUM(B82:B84)</f>
        <v>74394.44</v>
      </c>
      <c r="C81" s="747">
        <f t="shared" ref="C81" si="69">SUM(C82:C84)</f>
        <v>76626.27</v>
      </c>
      <c r="D81" s="747">
        <f t="shared" ref="D81" si="70">SUM(D82:D84)</f>
        <v>78921.240000000005</v>
      </c>
      <c r="E81" s="747">
        <f t="shared" ref="E81" si="71">SUM(E82:E84)</f>
        <v>81154.860000000015</v>
      </c>
      <c r="F81" s="747">
        <f t="shared" ref="F81" si="72">SUM(F82:F84)</f>
        <v>82643.94</v>
      </c>
      <c r="G81" s="747">
        <f t="shared" ref="G81" si="73">SUM(G82:G84)</f>
        <v>84133.02</v>
      </c>
      <c r="H81" s="747">
        <f t="shared" ref="H81" si="74">SUM(H82:H84)</f>
        <v>85622.1</v>
      </c>
      <c r="I81" s="747">
        <f t="shared" ref="I81" si="75">SUM(I82:I84)</f>
        <v>87111.18</v>
      </c>
      <c r="J81" s="747">
        <f t="shared" ref="J81" si="76">SUM(J82:J84)</f>
        <v>88600.26</v>
      </c>
      <c r="K81" s="747">
        <f t="shared" ref="K81" si="77">SUM(K82:K84)</f>
        <v>90089.34</v>
      </c>
      <c r="L81" s="747">
        <f t="shared" ref="L81" si="78">SUM(L82:L84)</f>
        <v>92322.959999999992</v>
      </c>
      <c r="M81" s="747">
        <f t="shared" ref="M81" si="79">SUM(M82:M84)</f>
        <v>94556.58</v>
      </c>
      <c r="N81" s="747">
        <f t="shared" ref="N81" si="80">SUM(N82:N84)</f>
        <v>96790.2</v>
      </c>
      <c r="O81" s="747">
        <f t="shared" ref="O81" si="81">SUM(O82:O84)</f>
        <v>99023.82</v>
      </c>
      <c r="P81" s="747">
        <f t="shared" ref="P81" si="82">SUM(P82:P84)</f>
        <v>101257.44</v>
      </c>
      <c r="Q81" s="747">
        <f t="shared" ref="Q81" si="83">SUM(Q82:Q84)</f>
        <v>103491.06</v>
      </c>
      <c r="R81" s="747">
        <f t="shared" ref="R81" si="84">SUM(R82:R84)</f>
        <v>105724.68</v>
      </c>
      <c r="S81" s="747">
        <f t="shared" ref="S81" si="85">SUM(S82:S84)</f>
        <v>107958.3</v>
      </c>
      <c r="T81" s="747">
        <f t="shared" ref="T81" si="86">SUM(T82:T84)</f>
        <v>110191.92</v>
      </c>
      <c r="U81" s="747">
        <f t="shared" ref="U81" si="87">SUM(U82:U84)</f>
        <v>112425.54000000001</v>
      </c>
      <c r="V81" s="747">
        <f t="shared" ref="V81" si="88">SUM(V82:V84)</f>
        <v>114659.16</v>
      </c>
      <c r="W81" s="747">
        <f t="shared" ref="W81" si="89">SUM(W82:W84)</f>
        <v>116892.78</v>
      </c>
      <c r="X81" s="747">
        <f t="shared" ref="X81" si="90">SUM(X82:X84)</f>
        <v>119126.39999999999</v>
      </c>
      <c r="Y81" s="747">
        <f t="shared" ref="Y81" si="91">SUM(Y82:Y84)</f>
        <v>121360.02</v>
      </c>
      <c r="Z81" s="747">
        <f t="shared" ref="Z81" si="92">SUM(Z82:Z84)</f>
        <v>123593.64</v>
      </c>
      <c r="AA81" s="747">
        <f t="shared" ref="AA81" si="93">SUM(AA82:AA84)</f>
        <v>125827.26</v>
      </c>
      <c r="AB81" s="747">
        <f t="shared" ref="AB81" si="94">SUM(AB82:AB84)</f>
        <v>128805.42</v>
      </c>
      <c r="AC81" s="747">
        <f t="shared" ref="AC81" si="95">SUM(AC82:AC84)</f>
        <v>131783.58000000002</v>
      </c>
      <c r="AD81" s="747">
        <f t="shared" ref="AD81" si="96">SUM(AD82:AD84)</f>
        <v>134761.74</v>
      </c>
      <c r="AE81" s="747">
        <f t="shared" ref="AE81" si="97">SUM(AE82:AE84)</f>
        <v>137739.9</v>
      </c>
      <c r="AF81" s="747">
        <f t="shared" ref="AF81" si="98">SUM(AF82:AF84)</f>
        <v>140718.06</v>
      </c>
      <c r="AG81" s="747">
        <f t="shared" ref="AG81" si="99">SUM(AG82:AG84)</f>
        <v>143696.22</v>
      </c>
      <c r="AH81" s="747">
        <f t="shared" ref="AH81" si="100">SUM(AH82:AH84)</f>
        <v>146674.38</v>
      </c>
      <c r="AI81" s="747">
        <f t="shared" ref="AI81" si="101">SUM(AI82:AI84)</f>
        <v>149652.53999999998</v>
      </c>
    </row>
    <row r="82" spans="1:35" s="260" customFormat="1" ht="12.75" x14ac:dyDescent="0.2">
      <c r="A82" s="263" t="s">
        <v>82</v>
      </c>
      <c r="B82" s="745">
        <f>'gadu šķirošana'!C59</f>
        <v>59952</v>
      </c>
      <c r="C82" s="745">
        <f>'gadu šķirošana'!D59*'gadu šķirošana'!D$77</f>
        <v>61750.560000000005</v>
      </c>
      <c r="D82" s="746">
        <f>'gadu šķirošana'!E59*'gadu šķirošana'!E$77</f>
        <v>63600</v>
      </c>
      <c r="E82" s="746">
        <f>'gadu šķirošana'!F59*'gadu šķirošana'!F$77</f>
        <v>65400.000000000007</v>
      </c>
      <c r="F82" s="746">
        <f>'gadu šķirošana'!G59*'gadu šķirošana'!G$77</f>
        <v>66600</v>
      </c>
      <c r="G82" s="746">
        <f>'gadu šķirošana'!H59*'gadu šķirošana'!H$77</f>
        <v>67800</v>
      </c>
      <c r="H82" s="746">
        <f>'gadu šķirošana'!I59*'gadu šķirošana'!I$77</f>
        <v>69000</v>
      </c>
      <c r="I82" s="746">
        <f>'gadu šķirošana'!J59*'gadu šķirošana'!J$77</f>
        <v>70200</v>
      </c>
      <c r="J82" s="746">
        <f>'gadu šķirošana'!K59*'gadu šķirošana'!K$77</f>
        <v>71400</v>
      </c>
      <c r="K82" s="746">
        <f>'gadu šķirošana'!L59*'gadu šķirošana'!L$77</f>
        <v>72600</v>
      </c>
      <c r="L82" s="746">
        <f>'gadu šķirošana'!M59*'gadu šķirošana'!M$77</f>
        <v>74400</v>
      </c>
      <c r="M82" s="746">
        <f>'gadu šķirošana'!N59*'gadu šķirošana'!N$77</f>
        <v>76200</v>
      </c>
      <c r="N82" s="746">
        <f>'gadu šķirošana'!O59*'gadu šķirošana'!O$77</f>
        <v>78000</v>
      </c>
      <c r="O82" s="746">
        <f>'gadu šķirošana'!P59*'gadu šķirošana'!P$77</f>
        <v>79800</v>
      </c>
      <c r="P82" s="746">
        <f>'gadu šķirošana'!Q59*'gadu šķirošana'!Q$77</f>
        <v>81600</v>
      </c>
      <c r="Q82" s="746">
        <f>'gadu šķirošana'!R59*'gadu šķirošana'!R$77</f>
        <v>83400</v>
      </c>
      <c r="R82" s="746">
        <f>'gadu šķirošana'!S59*'gadu šķirošana'!S$77</f>
        <v>85200</v>
      </c>
      <c r="S82" s="746">
        <f>'gadu šķirošana'!T59*'gadu šķirošana'!T$77</f>
        <v>87000</v>
      </c>
      <c r="T82" s="746">
        <f>'gadu šķirošana'!U59*'gadu šķirošana'!U$77</f>
        <v>88800</v>
      </c>
      <c r="U82" s="746">
        <f>'gadu šķirošana'!V59*'gadu šķirošana'!V$77</f>
        <v>90600</v>
      </c>
      <c r="V82" s="746">
        <f>'gadu šķirošana'!W59*'gadu šķirošana'!W$77</f>
        <v>92400</v>
      </c>
      <c r="W82" s="746">
        <f>'gadu šķirošana'!X59*'gadu šķirošana'!X$77</f>
        <v>94200</v>
      </c>
      <c r="X82" s="746">
        <f>'gadu šķirošana'!Y59*'gadu šķirošana'!Y$77</f>
        <v>96000</v>
      </c>
      <c r="Y82" s="746">
        <f>'gadu šķirošana'!Z59*'gadu šķirošana'!Z$77</f>
        <v>97800</v>
      </c>
      <c r="Z82" s="746">
        <f>'gadu šķirošana'!AA59*'gadu šķirošana'!AA$77</f>
        <v>99600</v>
      </c>
      <c r="AA82" s="746">
        <f>'gadu šķirošana'!AB59*'gadu šķirošana'!AB$77</f>
        <v>101400</v>
      </c>
      <c r="AB82" s="746">
        <f>'gadu šķirošana'!AC59*'gadu šķirošana'!AC$77</f>
        <v>103800</v>
      </c>
      <c r="AC82" s="746">
        <f>'gadu šķirošana'!AD59*'gadu šķirošana'!AD$77</f>
        <v>106200</v>
      </c>
      <c r="AD82" s="746">
        <f>'gadu šķirošana'!AE59*'gadu šķirošana'!AE$77</f>
        <v>108600</v>
      </c>
      <c r="AE82" s="746">
        <f>'gadu šķirošana'!AF59*'gadu šķirošana'!AF$77</f>
        <v>111000</v>
      </c>
      <c r="AF82" s="746">
        <f>'gadu šķirošana'!AG59*'gadu šķirošana'!AG$77</f>
        <v>113400</v>
      </c>
      <c r="AG82" s="746">
        <f>'gadu šķirošana'!AH59*'gadu šķirošana'!AH$77</f>
        <v>115800</v>
      </c>
      <c r="AH82" s="746">
        <f>'gadu šķirošana'!AI59*'gadu šķirošana'!AI$77</f>
        <v>118200</v>
      </c>
      <c r="AI82" s="746">
        <f>'gadu šķirošana'!AJ59*'gadu šķirošana'!AJ$77</f>
        <v>120599.99999999999</v>
      </c>
    </row>
    <row r="83" spans="1:35" s="260" customFormat="1" ht="12.75" x14ac:dyDescent="0.2">
      <c r="A83" s="263" t="s">
        <v>83</v>
      </c>
      <c r="B83" s="745">
        <f>ROUND(B82*'Kopējie pieņēmumi'!E14,2)</f>
        <v>14442.44</v>
      </c>
      <c r="C83" s="745">
        <f>ROUND(C82*'Kopējie pieņēmumi'!F14,2)</f>
        <v>14875.71</v>
      </c>
      <c r="D83" s="746">
        <f>ROUND(D82*'Kopējie pieņēmumi'!G14,2)</f>
        <v>15321.24</v>
      </c>
      <c r="E83" s="746">
        <f>ROUND(E82*'Kopējie pieņēmumi'!H14,2)</f>
        <v>15754.86</v>
      </c>
      <c r="F83" s="746">
        <f>ROUND(F82*'Kopējie pieņēmumi'!I14,2)</f>
        <v>16043.94</v>
      </c>
      <c r="G83" s="746">
        <f>ROUND(G82*'Kopējie pieņēmumi'!J14,2)</f>
        <v>16333.02</v>
      </c>
      <c r="H83" s="746">
        <f>ROUND(H82*'Kopējie pieņēmumi'!K14,2)</f>
        <v>16622.099999999999</v>
      </c>
      <c r="I83" s="746">
        <f>ROUND(I82*'Kopējie pieņēmumi'!L14,2)</f>
        <v>16911.18</v>
      </c>
      <c r="J83" s="746">
        <f>ROUND(J82*'Kopējie pieņēmumi'!M14,2)</f>
        <v>17200.259999999998</v>
      </c>
      <c r="K83" s="746">
        <f>ROUND(K82*'Kopējie pieņēmumi'!N14,2)</f>
        <v>17489.34</v>
      </c>
      <c r="L83" s="746">
        <f>ROUND(L82*'Kopējie pieņēmumi'!O14,2)</f>
        <v>17922.96</v>
      </c>
      <c r="M83" s="746">
        <f>ROUND(M82*'Kopējie pieņēmumi'!P14,2)</f>
        <v>18356.580000000002</v>
      </c>
      <c r="N83" s="746">
        <f>ROUND(N82*'Kopējie pieņēmumi'!Q14,2)</f>
        <v>18790.2</v>
      </c>
      <c r="O83" s="746">
        <f>ROUND(O82*'Kopējie pieņēmumi'!R14,2)</f>
        <v>19223.82</v>
      </c>
      <c r="P83" s="746">
        <f>ROUND(P82*'Kopējie pieņēmumi'!S14,2)</f>
        <v>19657.439999999999</v>
      </c>
      <c r="Q83" s="746">
        <f>ROUND(Q82*'Kopējie pieņēmumi'!T14,2)</f>
        <v>20091.060000000001</v>
      </c>
      <c r="R83" s="746">
        <f>ROUND(R82*'Kopējie pieņēmumi'!U14,2)</f>
        <v>20524.68</v>
      </c>
      <c r="S83" s="746">
        <f>ROUND(S82*'Kopējie pieņēmumi'!V14,2)</f>
        <v>20958.3</v>
      </c>
      <c r="T83" s="746">
        <f>ROUND(T82*'Kopējie pieņēmumi'!W14,2)</f>
        <v>21391.919999999998</v>
      </c>
      <c r="U83" s="746">
        <f>ROUND(U82*'Kopējie pieņēmumi'!X14,2)</f>
        <v>21825.54</v>
      </c>
      <c r="V83" s="746">
        <f>ROUND(V82*'Kopējie pieņēmumi'!Y14,2)</f>
        <v>22259.16</v>
      </c>
      <c r="W83" s="746">
        <f>ROUND(W82*'Kopējie pieņēmumi'!Z14,2)</f>
        <v>22692.78</v>
      </c>
      <c r="X83" s="746">
        <f>ROUND(X82*'Kopējie pieņēmumi'!AA14,2)</f>
        <v>23126.400000000001</v>
      </c>
      <c r="Y83" s="746">
        <f>ROUND(Y82*'Kopējie pieņēmumi'!AB14,2)</f>
        <v>23560.02</v>
      </c>
      <c r="Z83" s="746">
        <f>ROUND(Z82*'Kopējie pieņēmumi'!AC14,2)</f>
        <v>23993.64</v>
      </c>
      <c r="AA83" s="746">
        <f>ROUND(AA82*'Kopējie pieņēmumi'!AD14,2)</f>
        <v>24427.26</v>
      </c>
      <c r="AB83" s="746">
        <f>ROUND(AB82*'Kopējie pieņēmumi'!AE14,2)</f>
        <v>25005.42</v>
      </c>
      <c r="AC83" s="746">
        <f>ROUND(AC82*'Kopējie pieņēmumi'!AF14,2)</f>
        <v>25583.58</v>
      </c>
      <c r="AD83" s="746">
        <f>ROUND(AD82*'Kopējie pieņēmumi'!AG14,2)</f>
        <v>26161.74</v>
      </c>
      <c r="AE83" s="746">
        <f>ROUND(AE82*'Kopējie pieņēmumi'!AH14,2)</f>
        <v>26739.9</v>
      </c>
      <c r="AF83" s="746">
        <f>ROUND(AF82*'Kopējie pieņēmumi'!AI14,2)</f>
        <v>27318.06</v>
      </c>
      <c r="AG83" s="746">
        <f>ROUND(AG82*'Kopējie pieņēmumi'!AJ14,2)</f>
        <v>27896.22</v>
      </c>
      <c r="AH83" s="746">
        <f>ROUND(AH82*'Kopējie pieņēmumi'!AK14,2)</f>
        <v>28474.38</v>
      </c>
      <c r="AI83" s="746">
        <f>ROUND(AI82*'Kopējie pieņēmumi'!AL14,2)</f>
        <v>29052.54</v>
      </c>
    </row>
    <row r="84" spans="1:35" s="260" customFormat="1" ht="12.75" x14ac:dyDescent="0.2">
      <c r="A84" s="263" t="s">
        <v>84</v>
      </c>
      <c r="B84" s="745">
        <f>'gadu šķirošana'!C61</f>
        <v>0</v>
      </c>
      <c r="C84" s="745">
        <f>'gadu šķirošana'!D61*'gadu šķirošana'!D$77</f>
        <v>0</v>
      </c>
      <c r="D84" s="746">
        <f>'gadu šķirošana'!E61*'gadu šķirošana'!E$77</f>
        <v>0</v>
      </c>
      <c r="E84" s="746">
        <f>'gadu šķirošana'!F61*'gadu šķirošana'!F$77</f>
        <v>0</v>
      </c>
      <c r="F84" s="746">
        <f>'gadu šķirošana'!G61*'gadu šķirošana'!G$77</f>
        <v>0</v>
      </c>
      <c r="G84" s="746">
        <f>'gadu šķirošana'!H61*'gadu šķirošana'!H$77</f>
        <v>0</v>
      </c>
      <c r="H84" s="746">
        <f>'gadu šķirošana'!I61*'gadu šķirošana'!I$77</f>
        <v>0</v>
      </c>
      <c r="I84" s="746">
        <f>'gadu šķirošana'!J61*'gadu šķirošana'!J$77</f>
        <v>0</v>
      </c>
      <c r="J84" s="746">
        <f>'gadu šķirošana'!K61*'gadu šķirošana'!K$77</f>
        <v>0</v>
      </c>
      <c r="K84" s="746">
        <f>'gadu šķirošana'!L61*'gadu šķirošana'!L$77</f>
        <v>0</v>
      </c>
      <c r="L84" s="746">
        <f>'gadu šķirošana'!M61*'gadu šķirošana'!M$77</f>
        <v>0</v>
      </c>
      <c r="M84" s="746">
        <f>'gadu šķirošana'!N61*'gadu šķirošana'!N$77</f>
        <v>0</v>
      </c>
      <c r="N84" s="746">
        <f>'gadu šķirošana'!O61*'gadu šķirošana'!O$77</f>
        <v>0</v>
      </c>
      <c r="O84" s="746">
        <f>'gadu šķirošana'!P61*'gadu šķirošana'!P$77</f>
        <v>0</v>
      </c>
      <c r="P84" s="746">
        <f>'gadu šķirošana'!Q61*'gadu šķirošana'!Q$77</f>
        <v>0</v>
      </c>
      <c r="Q84" s="746">
        <f>'gadu šķirošana'!R61*'gadu šķirošana'!R$77</f>
        <v>0</v>
      </c>
      <c r="R84" s="746">
        <f>'gadu šķirošana'!S61*'gadu šķirošana'!S$77</f>
        <v>0</v>
      </c>
      <c r="S84" s="746">
        <f>'gadu šķirošana'!T61*'gadu šķirošana'!T$77</f>
        <v>0</v>
      </c>
      <c r="T84" s="746">
        <f>'gadu šķirošana'!U61*'gadu šķirošana'!U$77</f>
        <v>0</v>
      </c>
      <c r="U84" s="746">
        <f>'gadu šķirošana'!V61*'gadu šķirošana'!V$77</f>
        <v>0</v>
      </c>
      <c r="V84" s="746">
        <f>'gadu šķirošana'!W61*'gadu šķirošana'!W$77</f>
        <v>0</v>
      </c>
      <c r="W84" s="746">
        <f>'gadu šķirošana'!X61*'gadu šķirošana'!X$77</f>
        <v>0</v>
      </c>
      <c r="X84" s="746">
        <f>'gadu šķirošana'!Y61*'gadu šķirošana'!Y$77</f>
        <v>0</v>
      </c>
      <c r="Y84" s="746">
        <f>'gadu šķirošana'!Z61*'gadu šķirošana'!Z$77</f>
        <v>0</v>
      </c>
      <c r="Z84" s="746">
        <f>'gadu šķirošana'!AA61*'gadu šķirošana'!AA$77</f>
        <v>0</v>
      </c>
      <c r="AA84" s="746">
        <f>'gadu šķirošana'!AB61*'gadu šķirošana'!AB$77</f>
        <v>0</v>
      </c>
      <c r="AB84" s="746">
        <f>'gadu šķirošana'!AC61*'gadu šķirošana'!AC$77</f>
        <v>0</v>
      </c>
      <c r="AC84" s="746">
        <f>'gadu šķirošana'!AD61*'gadu šķirošana'!AD$77</f>
        <v>0</v>
      </c>
      <c r="AD84" s="746">
        <f>'gadu šķirošana'!AE61*'gadu šķirošana'!AE$77</f>
        <v>0</v>
      </c>
      <c r="AE84" s="746">
        <f>'gadu šķirošana'!AF61*'gadu šķirošana'!AF$77</f>
        <v>0</v>
      </c>
      <c r="AF84" s="746">
        <f>'gadu šķirošana'!AG61*'gadu šķirošana'!AG$77</f>
        <v>0</v>
      </c>
      <c r="AG84" s="746">
        <f>'gadu šķirošana'!AH61*'gadu šķirošana'!AH$77</f>
        <v>0</v>
      </c>
      <c r="AH84" s="746">
        <f>'gadu šķirošana'!AI61*'gadu šķirošana'!AI$77</f>
        <v>0</v>
      </c>
      <c r="AI84" s="746">
        <f>'gadu šķirošana'!AJ61*'gadu šķirošana'!AJ$77</f>
        <v>0</v>
      </c>
    </row>
    <row r="85" spans="1:35" s="260" customFormat="1" ht="12.75" x14ac:dyDescent="0.2">
      <c r="A85" s="264" t="s">
        <v>85</v>
      </c>
      <c r="B85" s="711">
        <f>SUM(B81,B77)</f>
        <v>148118.79</v>
      </c>
      <c r="C85" s="711">
        <f t="shared" ref="C85:AI85" si="102">SUM(C81,C77)</f>
        <v>152562.35</v>
      </c>
      <c r="D85" s="711">
        <f t="shared" si="102"/>
        <v>157842.48000000001</v>
      </c>
      <c r="E85" s="711">
        <f t="shared" si="102"/>
        <v>162309.72000000003</v>
      </c>
      <c r="F85" s="711">
        <f t="shared" si="102"/>
        <v>165287.88</v>
      </c>
      <c r="G85" s="711">
        <f t="shared" si="102"/>
        <v>168266.04</v>
      </c>
      <c r="H85" s="711">
        <f t="shared" si="102"/>
        <v>171244.2</v>
      </c>
      <c r="I85" s="711">
        <f t="shared" si="102"/>
        <v>174222.36</v>
      </c>
      <c r="J85" s="711">
        <f t="shared" si="102"/>
        <v>177200.52</v>
      </c>
      <c r="K85" s="711">
        <f t="shared" si="102"/>
        <v>180178.68</v>
      </c>
      <c r="L85" s="711">
        <f t="shared" si="102"/>
        <v>184645.91999999998</v>
      </c>
      <c r="M85" s="711">
        <f t="shared" si="102"/>
        <v>189113.16</v>
      </c>
      <c r="N85" s="711">
        <f t="shared" si="102"/>
        <v>193580.4</v>
      </c>
      <c r="O85" s="711">
        <f t="shared" si="102"/>
        <v>198047.64</v>
      </c>
      <c r="P85" s="711">
        <f t="shared" si="102"/>
        <v>202514.88</v>
      </c>
      <c r="Q85" s="711">
        <f t="shared" si="102"/>
        <v>206982.12</v>
      </c>
      <c r="R85" s="711">
        <f t="shared" si="102"/>
        <v>211449.36</v>
      </c>
      <c r="S85" s="711">
        <f t="shared" si="102"/>
        <v>215916.6</v>
      </c>
      <c r="T85" s="711">
        <f t="shared" si="102"/>
        <v>220383.84</v>
      </c>
      <c r="U85" s="711">
        <f t="shared" si="102"/>
        <v>224851.08000000002</v>
      </c>
      <c r="V85" s="711">
        <f t="shared" si="102"/>
        <v>229318.32</v>
      </c>
      <c r="W85" s="711">
        <f t="shared" si="102"/>
        <v>233785.56</v>
      </c>
      <c r="X85" s="711">
        <f t="shared" si="102"/>
        <v>238252.79999999999</v>
      </c>
      <c r="Y85" s="711">
        <f t="shared" si="102"/>
        <v>242720.04</v>
      </c>
      <c r="Z85" s="711">
        <f t="shared" si="102"/>
        <v>247187.28</v>
      </c>
      <c r="AA85" s="711">
        <f t="shared" si="102"/>
        <v>251654.52</v>
      </c>
      <c r="AB85" s="711">
        <f t="shared" si="102"/>
        <v>257610.84</v>
      </c>
      <c r="AC85" s="711">
        <f t="shared" si="102"/>
        <v>263567.16000000003</v>
      </c>
      <c r="AD85" s="711">
        <f t="shared" si="102"/>
        <v>269523.48</v>
      </c>
      <c r="AE85" s="711">
        <f t="shared" si="102"/>
        <v>275479.8</v>
      </c>
      <c r="AF85" s="711">
        <f t="shared" si="102"/>
        <v>281436.12</v>
      </c>
      <c r="AG85" s="711">
        <f t="shared" si="102"/>
        <v>287392.44</v>
      </c>
      <c r="AH85" s="711">
        <f t="shared" si="102"/>
        <v>293348.76</v>
      </c>
      <c r="AI85" s="711">
        <f t="shared" si="102"/>
        <v>299305.07999999996</v>
      </c>
    </row>
    <row r="86" spans="1:35" s="266" customFormat="1" ht="25.5" x14ac:dyDescent="0.2">
      <c r="A86" s="178" t="s">
        <v>86</v>
      </c>
      <c r="B86" s="711">
        <f>B85+B76</f>
        <v>477394.9</v>
      </c>
      <c r="C86" s="711">
        <f t="shared" ref="C86:AG86" si="103">C85+C76</f>
        <v>491716.74329999997</v>
      </c>
      <c r="D86" s="711">
        <f t="shared" si="103"/>
        <v>515892.47999999998</v>
      </c>
      <c r="E86" s="711">
        <f t="shared" si="103"/>
        <v>527179.72</v>
      </c>
      <c r="F86" s="711">
        <f t="shared" si="103"/>
        <v>536977.88</v>
      </c>
      <c r="G86" s="711">
        <f t="shared" si="103"/>
        <v>546776.04</v>
      </c>
      <c r="H86" s="711">
        <f t="shared" si="103"/>
        <v>556574.19999999995</v>
      </c>
      <c r="I86" s="711">
        <f t="shared" si="103"/>
        <v>566372.36</v>
      </c>
      <c r="J86" s="711">
        <f t="shared" si="103"/>
        <v>576170.52</v>
      </c>
      <c r="K86" s="711">
        <f t="shared" si="103"/>
        <v>585968.67999999993</v>
      </c>
      <c r="L86" s="711">
        <f t="shared" si="103"/>
        <v>597255.91999999993</v>
      </c>
      <c r="M86" s="711">
        <f t="shared" si="103"/>
        <v>608543.16</v>
      </c>
      <c r="N86" s="711">
        <f t="shared" si="103"/>
        <v>619830.4</v>
      </c>
      <c r="O86" s="711">
        <f t="shared" si="103"/>
        <v>634527.64</v>
      </c>
      <c r="P86" s="711">
        <f t="shared" si="103"/>
        <v>649224.88</v>
      </c>
      <c r="Q86" s="711">
        <f t="shared" si="103"/>
        <v>663922.12</v>
      </c>
      <c r="R86" s="711">
        <f t="shared" si="103"/>
        <v>678619.36</v>
      </c>
      <c r="S86" s="711">
        <f t="shared" si="103"/>
        <v>693316.6</v>
      </c>
      <c r="T86" s="711">
        <f t="shared" si="103"/>
        <v>708013.84</v>
      </c>
      <c r="U86" s="711">
        <f t="shared" si="103"/>
        <v>722711.08000000007</v>
      </c>
      <c r="V86" s="711">
        <f t="shared" si="103"/>
        <v>737408.32000000007</v>
      </c>
      <c r="W86" s="711">
        <f t="shared" si="103"/>
        <v>752105.56</v>
      </c>
      <c r="X86" s="711">
        <f t="shared" si="103"/>
        <v>766802.8</v>
      </c>
      <c r="Y86" s="711">
        <f t="shared" si="103"/>
        <v>781500.04</v>
      </c>
      <c r="Z86" s="711">
        <f t="shared" si="103"/>
        <v>796197.28</v>
      </c>
      <c r="AA86" s="711">
        <f t="shared" si="103"/>
        <v>810894.52</v>
      </c>
      <c r="AB86" s="711">
        <f t="shared" si="103"/>
        <v>827080.84</v>
      </c>
      <c r="AC86" s="711">
        <f t="shared" si="103"/>
        <v>843267.16</v>
      </c>
      <c r="AD86" s="711">
        <f t="shared" si="103"/>
        <v>859453.48</v>
      </c>
      <c r="AE86" s="711">
        <f t="shared" si="103"/>
        <v>875639.8</v>
      </c>
      <c r="AF86" s="711">
        <f t="shared" si="103"/>
        <v>895236.12</v>
      </c>
      <c r="AG86" s="711">
        <f t="shared" si="103"/>
        <v>914832.44</v>
      </c>
      <c r="AH86" s="711">
        <f>AH85+AH76</f>
        <v>934428.76</v>
      </c>
      <c r="AI86" s="711">
        <f>AI85+AI76</f>
        <v>954025.08</v>
      </c>
    </row>
    <row r="87" spans="1:35" s="266" customFormat="1" ht="12.75" x14ac:dyDescent="0.2">
      <c r="A87" s="213" t="s">
        <v>87</v>
      </c>
      <c r="B87" s="745">
        <f>'gadu šķirošana'!C6*'gadu šķirošana'!C7*365/1000*B110</f>
        <v>237768.3</v>
      </c>
      <c r="C87" s="745">
        <f>'gadu šķirošana'!D6*'gadu šķirošana'!D7*365/1000*C110</f>
        <v>237768.3</v>
      </c>
      <c r="D87" s="746">
        <f>'gadu šķirošana'!E6*'gadu šķirošana'!E7*365/1000*D110</f>
        <v>207920.78999999998</v>
      </c>
      <c r="E87" s="746">
        <f>'gadu šķirošana'!F6*'gadu šķirošana'!F7*365/1000*E110</f>
        <v>213853.5</v>
      </c>
      <c r="F87" s="746">
        <f>'gadu šķirošana'!G6*'gadu šķirošana'!G7*365/1000*F110</f>
        <v>217685.99999999997</v>
      </c>
      <c r="G87" s="746">
        <f>'gadu šķirošana'!H6*'gadu šķirošana'!H7*365/1000*G110</f>
        <v>221263</v>
      </c>
      <c r="H87" s="746">
        <f>'gadu šķirošana'!I6*'gadu šķirošana'!I7*365/1000*H110</f>
        <v>225095.49999999997</v>
      </c>
      <c r="I87" s="746">
        <f>'gadu šķirošana'!J6*'gadu šķirošana'!J7*365/1000*I110</f>
        <v>228672.50000000003</v>
      </c>
      <c r="J87" s="746">
        <f>'gadu šķirošana'!K6*'gadu šķirošana'!K7*365/1000*J110</f>
        <v>232505</v>
      </c>
      <c r="K87" s="746">
        <f>'gadu šķirošana'!L6*'gadu šķirošana'!L7*365/1000*K110</f>
        <v>236081.99999999997</v>
      </c>
      <c r="L87" s="746">
        <f>'gadu šķirošana'!M6*'gadu šķirošana'!M7*365/1000*L110</f>
        <v>240425.5</v>
      </c>
      <c r="M87" s="746">
        <f>'gadu šķirošana'!N6*'gadu šķirošana'!N7*365/1000*M110</f>
        <v>244769</v>
      </c>
      <c r="N87" s="746">
        <f>'gadu šķirošana'!O6*'gadu šķirošana'!O7*365/1000*N110</f>
        <v>244258.00000000003</v>
      </c>
      <c r="O87" s="746">
        <f>'gadu šķirošana'!P6*'gadu šķirošana'!P7*365/1000*O110</f>
        <v>248601.5</v>
      </c>
      <c r="P87" s="746">
        <f>'gadu šķirošana'!Q6*'gadu šķirošana'!Q7*365/1000*P110</f>
        <v>254222.49999999997</v>
      </c>
      <c r="Q87" s="746">
        <f>'gadu šķirošana'!R6*'gadu šķirošana'!R7*365/1000*Q110</f>
        <v>259843.49999999997</v>
      </c>
      <c r="R87" s="746">
        <f>'gadu šķirošana'!S6*'gadu šķirošana'!S7*365/1000*R110</f>
        <v>265464.5</v>
      </c>
      <c r="S87" s="746">
        <f>'gadu šķirošana'!T6*'gadu šķirošana'!T7*365/1000*S110</f>
        <v>271085.5</v>
      </c>
      <c r="T87" s="746">
        <f>'gadu šķirošana'!U6*'gadu šķirošana'!U7*365/1000*T110</f>
        <v>276706.5</v>
      </c>
      <c r="U87" s="746">
        <f>'gadu šķirošana'!V6*'gadu šķirošana'!V7*365/1000*U110</f>
        <v>282327.5</v>
      </c>
      <c r="V87" s="746">
        <f>'gadu šķirošana'!W6*'gadu šķirošana'!W7*365/1000*V110</f>
        <v>288204</v>
      </c>
      <c r="W87" s="746">
        <f>'gadu šķirošana'!X6*'gadu šķirošana'!X7*365/1000*W110</f>
        <v>293825</v>
      </c>
      <c r="X87" s="746">
        <f>'gadu šķirošana'!Y6*'gadu šķirošana'!Y7*365/1000*X110</f>
        <v>299446</v>
      </c>
      <c r="Y87" s="746">
        <f>'gadu šķirošana'!Z6*'gadu šķirošana'!Z7*365/1000*Y110</f>
        <v>305067</v>
      </c>
      <c r="Z87" s="746">
        <f>'gadu šķirošana'!AA6*'gadu šķirošana'!AA7*365/1000*Z110</f>
        <v>310688</v>
      </c>
      <c r="AA87" s="746">
        <f>'gadu šķirošana'!AB6*'gadu šķirošana'!AB7*365/1000*AA110</f>
        <v>316309</v>
      </c>
      <c r="AB87" s="746">
        <f>'gadu šķirošana'!AC6*'gadu šķirošana'!AC7*365/1000*AB110</f>
        <v>322441</v>
      </c>
      <c r="AC87" s="746">
        <f>'gadu šķirošana'!AD6*'gadu šķirošana'!AD7*365/1000*AC110</f>
        <v>328828.5</v>
      </c>
      <c r="AD87" s="746">
        <f>'gadu šķirošana'!AE6*'gadu šķirošana'!AE7*365/1000*AD110</f>
        <v>334960.5</v>
      </c>
      <c r="AE87" s="746">
        <f>'gadu šķirošana'!AF6*'gadu šķirošana'!AF7*365/1000*AE110</f>
        <v>341092.5</v>
      </c>
      <c r="AF87" s="746">
        <f>'gadu šķirošana'!AG6*'gadu šķirošana'!AG7*365/1000*AF110</f>
        <v>348757.5</v>
      </c>
      <c r="AG87" s="746">
        <f>'gadu šķirošana'!AH6*'gadu šķirošana'!AH7*365/1000*AG110</f>
        <v>356167</v>
      </c>
      <c r="AH87" s="746">
        <f>'gadu šķirošana'!AI6*'gadu šķirošana'!AI7*365/1000*AH110</f>
        <v>363832</v>
      </c>
      <c r="AI87" s="746">
        <f>'gadu šķirošana'!AJ6*'gadu šķirošana'!AJ7*365/1000*AI110</f>
        <v>371241.5</v>
      </c>
    </row>
    <row r="88" spans="1:35" s="267" customFormat="1" ht="12.75" x14ac:dyDescent="0.2">
      <c r="A88" s="57" t="s">
        <v>88</v>
      </c>
      <c r="B88" s="748">
        <f>'gadu šķirošana'!C8*'Saimnieciskas pamatdarbibas NP'!B110</f>
        <v>37468.400000000001</v>
      </c>
      <c r="C88" s="748">
        <f>'gadu šķirošana'!D8*'Saimnieciskas pamatdarbibas NP'!C110</f>
        <v>37468.400000000001</v>
      </c>
      <c r="D88" s="748">
        <f>'gadu šķirošana'!E8*'Saimnieciskas pamatdarbibas NP'!D110</f>
        <v>32764.92</v>
      </c>
      <c r="E88" s="748">
        <f>'gadu šķirošana'!F8*'Saimnieciskas pamatdarbibas NP'!E110</f>
        <v>33362.82</v>
      </c>
      <c r="F88" s="748">
        <f>'gadu šķirošana'!G8*'Saimnieciskas pamatdarbibas NP'!F110</f>
        <v>33960.719999999994</v>
      </c>
      <c r="G88" s="748">
        <f>'gadu šķirošana'!H8*'Saimnieciskas pamatdarbibas NP'!G110</f>
        <v>34518.76</v>
      </c>
      <c r="H88" s="748">
        <f>'gadu šķirošana'!I8*'Saimnieciskas pamatdarbibas NP'!H110</f>
        <v>35116.659999999996</v>
      </c>
      <c r="I88" s="748">
        <f>'gadu šķirošana'!J8*'Saimnieciskas pamatdarbibas NP'!I110</f>
        <v>35674.700000000004</v>
      </c>
      <c r="J88" s="748">
        <f>'gadu šķirošana'!K8*'Saimnieciskas pamatdarbibas NP'!J110</f>
        <v>36272.6</v>
      </c>
      <c r="K88" s="748">
        <f>'gadu šķirošana'!L8*'Saimnieciskas pamatdarbibas NP'!K110</f>
        <v>36830.639999999999</v>
      </c>
      <c r="L88" s="748">
        <f>'gadu šķirošana'!M8*'Saimnieciskas pamatdarbibas NP'!L110</f>
        <v>37508.259999999995</v>
      </c>
      <c r="M88" s="748">
        <f>'gadu šķirošana'!N8*'Saimnieciskas pamatdarbibas NP'!M110</f>
        <v>38185.879999999997</v>
      </c>
      <c r="N88" s="748">
        <f>'gadu šķirošana'!O8*'Saimnieciskas pamatdarbibas NP'!N110</f>
        <v>38106.160000000003</v>
      </c>
      <c r="O88" s="748">
        <f>'gadu šķirošana'!P8*'Saimnieciskas pamatdarbibas NP'!O110</f>
        <v>38783.78</v>
      </c>
      <c r="P88" s="748">
        <f>'gadu šķirošana'!Q8*'Saimnieciskas pamatdarbibas NP'!P110</f>
        <v>39660.699999999997</v>
      </c>
      <c r="Q88" s="748">
        <f>'gadu šķirošana'!R8*'Saimnieciskas pamatdarbibas NP'!Q110</f>
        <v>40537.619999999995</v>
      </c>
      <c r="R88" s="748">
        <f>'gadu šķirošana'!S8*'Saimnieciskas pamatdarbibas NP'!R110</f>
        <v>41414.539999999994</v>
      </c>
      <c r="S88" s="748">
        <f>'gadu šķirošana'!T8*'Saimnieciskas pamatdarbibas NP'!S110</f>
        <v>42291.46</v>
      </c>
      <c r="T88" s="748">
        <f>'gadu šķirošana'!U8*'Saimnieciskas pamatdarbibas NP'!T110</f>
        <v>43168.38</v>
      </c>
      <c r="U88" s="748">
        <f>'gadu šķirošana'!V8*'Saimnieciskas pamatdarbibas NP'!U110</f>
        <v>44045.3</v>
      </c>
      <c r="V88" s="748">
        <f>'gadu šķirošana'!W8*'Saimnieciskas pamatdarbibas NP'!V110</f>
        <v>44962.079999999994</v>
      </c>
      <c r="W88" s="748">
        <f>'gadu šķirošana'!X8*'Saimnieciskas pamatdarbibas NP'!W110</f>
        <v>45839</v>
      </c>
      <c r="X88" s="748">
        <f>'gadu šķirošana'!Y8*'Saimnieciskas pamatdarbibas NP'!X110</f>
        <v>46715.92</v>
      </c>
      <c r="Y88" s="748">
        <f>'gadu šķirošana'!Z8*'Saimnieciskas pamatdarbibas NP'!Y110</f>
        <v>47592.84</v>
      </c>
      <c r="Z88" s="748">
        <f>'gadu šķirošana'!AA8*'Saimnieciskas pamatdarbibas NP'!Z110</f>
        <v>48469.760000000002</v>
      </c>
      <c r="AA88" s="748">
        <f>'gadu šķirošana'!AB8*'Saimnieciskas pamatdarbibas NP'!AA110</f>
        <v>49346.68</v>
      </c>
      <c r="AB88" s="748">
        <f>'gadu šķirošana'!AC8*'Saimnieciskas pamatdarbibas NP'!AB110</f>
        <v>50303.32</v>
      </c>
      <c r="AC88" s="748">
        <f>'gadu šķirošana'!AD8*'Saimnieciskas pamatdarbibas NP'!AC110</f>
        <v>51299.82</v>
      </c>
      <c r="AD88" s="748">
        <f>'gadu šķirošana'!AE8*'Saimnieciskas pamatdarbibas NP'!AD110</f>
        <v>52256.46</v>
      </c>
      <c r="AE88" s="748">
        <f>'gadu šķirošana'!AF8*'Saimnieciskas pamatdarbibas NP'!AE110</f>
        <v>53213.1</v>
      </c>
      <c r="AF88" s="748">
        <f>'gadu šķirošana'!AG8*'Saimnieciskas pamatdarbibas NP'!AF110</f>
        <v>54408.9</v>
      </c>
      <c r="AG88" s="748">
        <f>'gadu šķirošana'!AH8*'Saimnieciskas pamatdarbibas NP'!AG110</f>
        <v>55564.84</v>
      </c>
      <c r="AH88" s="748">
        <f>'gadu šķirošana'!AI8*'Saimnieciskas pamatdarbibas NP'!AH110</f>
        <v>56760.639999999999</v>
      </c>
      <c r="AI88" s="748">
        <f>'gadu šķirošana'!AJ8*'Saimnieciskas pamatdarbibas NP'!AI110</f>
        <v>57916.58</v>
      </c>
    </row>
    <row r="89" spans="1:35" s="266" customFormat="1" ht="12.75" x14ac:dyDescent="0.2">
      <c r="A89" s="213" t="s">
        <v>89</v>
      </c>
      <c r="B89" s="745">
        <f>'gadu šķirošana'!C9*B110</f>
        <v>49594.399999999994</v>
      </c>
      <c r="C89" s="745">
        <f>'gadu šķirošana'!D9*C110</f>
        <v>49594.399999999994</v>
      </c>
      <c r="D89" s="746">
        <f>'gadu šķirošana'!E9*D110</f>
        <v>43368.719999999994</v>
      </c>
      <c r="E89" s="746">
        <f>'gadu šķirošana'!F9*E110</f>
        <v>44160.119999999995</v>
      </c>
      <c r="F89" s="746">
        <f>'gadu šķirošana'!G9*F110</f>
        <v>44951.51999999999</v>
      </c>
      <c r="G89" s="746">
        <f>'gadu šķirošana'!H9*G110</f>
        <v>45690.159999999996</v>
      </c>
      <c r="H89" s="746">
        <f>'gadu šķirošana'!I9*H110</f>
        <v>46481.56</v>
      </c>
      <c r="I89" s="746">
        <f>'gadu šķirošana'!J9*I110</f>
        <v>47220.200000000004</v>
      </c>
      <c r="J89" s="746">
        <f>'gadu šķirošana'!K9*J110</f>
        <v>48011.6</v>
      </c>
      <c r="K89" s="746">
        <f>'gadu šķirošana'!L9*K110</f>
        <v>48750.239999999998</v>
      </c>
      <c r="L89" s="746">
        <f>'gadu šķirošana'!M9*L110</f>
        <v>49647.159999999996</v>
      </c>
      <c r="M89" s="746">
        <f>'gadu šķirošana'!N9*M110</f>
        <v>50544.079999999994</v>
      </c>
      <c r="N89" s="746">
        <f>'gadu šķirošana'!O9*N110</f>
        <v>50438.560000000005</v>
      </c>
      <c r="O89" s="746">
        <f>'gadu šķirošana'!P9*O110</f>
        <v>51335.479999999996</v>
      </c>
      <c r="P89" s="746">
        <f>'gadu šķirošana'!Q9*P110</f>
        <v>52496.2</v>
      </c>
      <c r="Q89" s="746">
        <f>'gadu šķirošana'!R9*Q110</f>
        <v>53656.92</v>
      </c>
      <c r="R89" s="746">
        <f>'gadu šķirošana'!S9*R110</f>
        <v>54817.64</v>
      </c>
      <c r="S89" s="746">
        <f>'gadu šķirošana'!T9*S110</f>
        <v>55978.36</v>
      </c>
      <c r="T89" s="746">
        <f>'gadu šķirošana'!U9*T110</f>
        <v>57139.079999999994</v>
      </c>
      <c r="U89" s="746">
        <f>'gadu šķirošana'!V9*U110</f>
        <v>58299.799999999996</v>
      </c>
      <c r="V89" s="746">
        <f>'gadu šķirošana'!W9*V110</f>
        <v>59513.279999999992</v>
      </c>
      <c r="W89" s="746">
        <f>'gadu šķirošana'!X9*W110</f>
        <v>60673.999999999993</v>
      </c>
      <c r="X89" s="746">
        <f>'gadu šķirošana'!Y9*X110</f>
        <v>61834.719999999994</v>
      </c>
      <c r="Y89" s="746">
        <f>'gadu šķirošana'!Z9*Y110</f>
        <v>62995.439999999995</v>
      </c>
      <c r="Z89" s="746">
        <f>'gadu šķirošana'!AA9*Z110</f>
        <v>64156.159999999996</v>
      </c>
      <c r="AA89" s="746">
        <f>'gadu šķirošana'!AB9*AA110</f>
        <v>65316.88</v>
      </c>
      <c r="AB89" s="746">
        <f>'gadu šķirošana'!AC9*AB110</f>
        <v>66583.12</v>
      </c>
      <c r="AC89" s="746">
        <f>'gadu šķirošana'!AD9*AC110</f>
        <v>67902.12</v>
      </c>
      <c r="AD89" s="746">
        <f>'gadu šķirošana'!AE9*AD110</f>
        <v>69168.36</v>
      </c>
      <c r="AE89" s="746">
        <f>'gadu šķirošana'!AF9*AE110</f>
        <v>70434.599999999991</v>
      </c>
      <c r="AF89" s="746">
        <f>'gadu šķirošana'!AG9*AF110</f>
        <v>72017.399999999994</v>
      </c>
      <c r="AG89" s="746">
        <f>'gadu šķirošana'!AH9*AG110</f>
        <v>73547.439999999988</v>
      </c>
      <c r="AH89" s="746">
        <f>'gadu šķirošana'!AI9*AH110</f>
        <v>75130.239999999991</v>
      </c>
      <c r="AI89" s="746">
        <f>'gadu šķirošana'!AJ9*AI110</f>
        <v>76660.28</v>
      </c>
    </row>
    <row r="90" spans="1:35" s="266" customFormat="1" ht="12.75" x14ac:dyDescent="0.2">
      <c r="A90" s="268" t="s">
        <v>90</v>
      </c>
      <c r="B90" s="722">
        <f>SUM(B87:B89)</f>
        <v>324831.09999999998</v>
      </c>
      <c r="C90" s="722">
        <f t="shared" ref="C90:AG90" si="104">SUM(C87:C89)</f>
        <v>324831.09999999998</v>
      </c>
      <c r="D90" s="722">
        <f t="shared" si="104"/>
        <v>284054.42999999993</v>
      </c>
      <c r="E90" s="722">
        <f t="shared" si="104"/>
        <v>291376.44</v>
      </c>
      <c r="F90" s="722">
        <f t="shared" si="104"/>
        <v>296598.24</v>
      </c>
      <c r="G90" s="722">
        <f t="shared" si="104"/>
        <v>301471.92</v>
      </c>
      <c r="H90" s="722">
        <f t="shared" si="104"/>
        <v>306693.71999999997</v>
      </c>
      <c r="I90" s="722">
        <f t="shared" si="104"/>
        <v>311567.40000000002</v>
      </c>
      <c r="J90" s="722">
        <f t="shared" si="104"/>
        <v>316789.19999999995</v>
      </c>
      <c r="K90" s="722">
        <f t="shared" si="104"/>
        <v>321662.87999999995</v>
      </c>
      <c r="L90" s="722">
        <f t="shared" si="104"/>
        <v>327580.92</v>
      </c>
      <c r="M90" s="722">
        <f t="shared" si="104"/>
        <v>333498.96000000002</v>
      </c>
      <c r="N90" s="722">
        <f t="shared" si="104"/>
        <v>332802.72000000003</v>
      </c>
      <c r="O90" s="722">
        <f t="shared" si="104"/>
        <v>338720.76</v>
      </c>
      <c r="P90" s="722">
        <f t="shared" si="104"/>
        <v>346379.39999999997</v>
      </c>
      <c r="Q90" s="722">
        <f t="shared" si="104"/>
        <v>354038.04</v>
      </c>
      <c r="R90" s="722">
        <f t="shared" si="104"/>
        <v>361696.68</v>
      </c>
      <c r="S90" s="722">
        <f t="shared" si="104"/>
        <v>369355.32</v>
      </c>
      <c r="T90" s="722">
        <f t="shared" si="104"/>
        <v>377013.96</v>
      </c>
      <c r="U90" s="722">
        <f t="shared" si="104"/>
        <v>384672.6</v>
      </c>
      <c r="V90" s="722">
        <f t="shared" si="104"/>
        <v>392679.36</v>
      </c>
      <c r="W90" s="722">
        <f t="shared" si="104"/>
        <v>400338</v>
      </c>
      <c r="X90" s="722">
        <f t="shared" si="104"/>
        <v>407996.63999999996</v>
      </c>
      <c r="Y90" s="722">
        <f t="shared" si="104"/>
        <v>415655.27999999997</v>
      </c>
      <c r="Z90" s="722">
        <f t="shared" si="104"/>
        <v>423313.91999999998</v>
      </c>
      <c r="AA90" s="722">
        <f t="shared" si="104"/>
        <v>430972.56</v>
      </c>
      <c r="AB90" s="722">
        <f t="shared" si="104"/>
        <v>439327.44</v>
      </c>
      <c r="AC90" s="722">
        <f t="shared" si="104"/>
        <v>448030.44</v>
      </c>
      <c r="AD90" s="722">
        <f t="shared" si="104"/>
        <v>456385.32</v>
      </c>
      <c r="AE90" s="722">
        <f t="shared" si="104"/>
        <v>464740.19999999995</v>
      </c>
      <c r="AF90" s="722">
        <f t="shared" si="104"/>
        <v>475183.80000000005</v>
      </c>
      <c r="AG90" s="722">
        <f t="shared" si="104"/>
        <v>485279.27999999997</v>
      </c>
      <c r="AH90" s="722">
        <f>SUM(AH87:AH89)</f>
        <v>495722.88</v>
      </c>
      <c r="AI90" s="722">
        <f>SUM(AI87:AI89)</f>
        <v>505818.36</v>
      </c>
    </row>
    <row r="91" spans="1:35" s="267" customFormat="1" ht="12.75" x14ac:dyDescent="0.2">
      <c r="A91" s="57" t="s">
        <v>91</v>
      </c>
      <c r="B91" s="748">
        <f>'gadu šķirošana'!C11*'gadu šķirošana'!C12*365/1000*B123</f>
        <v>254355.36000000002</v>
      </c>
      <c r="C91" s="748">
        <f>'gadu šķirošana'!D11*'gadu šķirošana'!D12*365/1000*C123</f>
        <v>211205.79</v>
      </c>
      <c r="D91" s="748">
        <f>'gadu šķirošana'!E11*'gadu šķirošana'!E12*365/1000*D123</f>
        <v>213476.81999999998</v>
      </c>
      <c r="E91" s="748">
        <f>'gadu šķirošana'!F11*'gadu šķirošana'!F12*365/1000*E123</f>
        <v>222697.44999999998</v>
      </c>
      <c r="F91" s="748">
        <f>'gadu šķirošana'!G11*'gadu šķirošana'!G12*365/1000*F123</f>
        <v>224993.3</v>
      </c>
      <c r="G91" s="748">
        <f>'gadu šķirošana'!H11*'gadu šķirošana'!H12*365/1000*G123</f>
        <v>229585</v>
      </c>
      <c r="H91" s="748">
        <f>'gadu šķirošana'!I11*'gadu šķirošana'!I12*365/1000*H123</f>
        <v>234176.7</v>
      </c>
      <c r="I91" s="748">
        <f>'gadu šķirošana'!J11*'gadu šķirošana'!J12*365/1000*I123</f>
        <v>236472.55000000002</v>
      </c>
      <c r="J91" s="748">
        <f>'gadu šķirošana'!K11*'gadu šķirošana'!K12*365/1000*J123</f>
        <v>241064.25</v>
      </c>
      <c r="K91" s="748">
        <f>'gadu šķirošana'!L11*'gadu šķirošana'!L12*365/1000*K123</f>
        <v>245655.95</v>
      </c>
      <c r="L91" s="748">
        <f>'gadu šķirošana'!M11*'gadu šķirošana'!M12*365/1000*L123</f>
        <v>250247.65000000002</v>
      </c>
      <c r="M91" s="748">
        <f>'gadu šķirošana'!N11*'gadu šķirošana'!N12*365/1000*M123</f>
        <v>252543.50000000003</v>
      </c>
      <c r="N91" s="748">
        <f>'gadu šķirošana'!O11*'gadu šķirošana'!O12*365/1000*N123</f>
        <v>254839.35000000003</v>
      </c>
      <c r="O91" s="748">
        <f>'gadu šķirošana'!P11*'gadu šķirošana'!P12*365/1000*O123</f>
        <v>259431.05</v>
      </c>
      <c r="P91" s="748">
        <f>'gadu šķirošana'!Q11*'gadu šķirošana'!Q12*365/1000*P123</f>
        <v>264022.75</v>
      </c>
      <c r="Q91" s="748">
        <f>'gadu šķirošana'!R11*'gadu šķirošana'!R12*365/1000*Q123</f>
        <v>270910.3</v>
      </c>
      <c r="R91" s="748">
        <f>'gadu šķirošana'!S11*'gadu šķirošana'!S12*365/1000*R123</f>
        <v>275502</v>
      </c>
      <c r="S91" s="748">
        <f>'gadu šķirošana'!T11*'gadu šķirošana'!T12*365/1000*S123</f>
        <v>282389.55</v>
      </c>
      <c r="T91" s="748">
        <f>'gadu šķirošana'!U11*'gadu šķirošana'!U12*365/1000*T123</f>
        <v>286981.25</v>
      </c>
      <c r="U91" s="748">
        <f>'gadu šķirošana'!V11*'gadu šķirošana'!V12*365/1000*U123</f>
        <v>293868.79999999999</v>
      </c>
      <c r="V91" s="748">
        <f>'gadu šķirošana'!W11*'gadu šķirošana'!W12*365/1000*V123</f>
        <v>298460.5</v>
      </c>
      <c r="W91" s="748">
        <f>'gadu šķirošana'!X11*'gadu šķirošana'!X12*365/1000*W123</f>
        <v>305348.05</v>
      </c>
      <c r="X91" s="748">
        <f>'gadu šķirošana'!Y11*'gadu šķirošana'!Y12*365/1000*X123</f>
        <v>309939.75</v>
      </c>
      <c r="Y91" s="748">
        <f>'gadu šķirošana'!Z11*'gadu šķirošana'!Z12*365/1000*Y123</f>
        <v>316827.3</v>
      </c>
      <c r="Z91" s="748">
        <f>'gadu šķirošana'!AA11*'gadu šķirošana'!AA12*365/1000*Z123</f>
        <v>321419</v>
      </c>
      <c r="AA91" s="748">
        <f>'gadu šķirošana'!AB11*'gadu šķirošana'!AB12*365/1000*AA123</f>
        <v>328306.55</v>
      </c>
      <c r="AB91" s="748">
        <f>'gadu šķirošana'!AC11*'gadu šķirošana'!AC12*365/1000*AB123</f>
        <v>335194.09999999998</v>
      </c>
      <c r="AC91" s="748">
        <f>'gadu šķirošana'!AD11*'gadu šķirošana'!AD12*365/1000*AC123</f>
        <v>339785.8</v>
      </c>
      <c r="AD91" s="748">
        <f>'gadu šķirošana'!AE11*'gadu šķirošana'!AE12*365/1000*AD123</f>
        <v>346673.35</v>
      </c>
      <c r="AE91" s="748">
        <f>'gadu šķirošana'!AF11*'gadu šķirošana'!AF12*365/1000*AE123</f>
        <v>353560.9</v>
      </c>
      <c r="AF91" s="748">
        <f>'gadu šķirošana'!AG11*'gadu šķirošana'!AG12*365/1000*AF123</f>
        <v>360448.45</v>
      </c>
      <c r="AG91" s="748">
        <f>'gadu šķirošana'!AH11*'gadu šķirošana'!AH12*365/1000*AG123</f>
        <v>367336</v>
      </c>
      <c r="AH91" s="748">
        <f>'gadu šķirošana'!AI11*'gadu šķirošana'!AI12*365/1000*AH123</f>
        <v>376519.39999999997</v>
      </c>
      <c r="AI91" s="748">
        <f>'gadu šķirošana'!AJ11*'gadu šķirošana'!AJ12*365/1000*AI123</f>
        <v>383406.94999999995</v>
      </c>
    </row>
    <row r="92" spans="1:35" s="266" customFormat="1" ht="12.75" x14ac:dyDescent="0.2">
      <c r="A92" s="213" t="s">
        <v>92</v>
      </c>
      <c r="B92" s="745">
        <f>'gadu šķirošana'!C13*B123</f>
        <v>43750.33600000001</v>
      </c>
      <c r="C92" s="745">
        <f>'gadu šķirošana'!D13*C123</f>
        <v>36328.404000000002</v>
      </c>
      <c r="D92" s="746">
        <f>'gadu šķirošana'!E13*D123</f>
        <v>36719.031999999999</v>
      </c>
      <c r="E92" s="746">
        <f>'gadu šķirošana'!F13*E123</f>
        <v>37890.916000000005</v>
      </c>
      <c r="F92" s="746">
        <f>'gadu šķirošana'!G13*F123</f>
        <v>38281.544000000002</v>
      </c>
      <c r="G92" s="746">
        <f>'gadu šķirošana'!H13*G123</f>
        <v>39062.800000000003</v>
      </c>
      <c r="H92" s="746">
        <f>'gadu šķirošana'!I13*H123</f>
        <v>39844.056000000004</v>
      </c>
      <c r="I92" s="746">
        <f>'gadu šķirošana'!J13*I123</f>
        <v>40234.684000000001</v>
      </c>
      <c r="J92" s="746">
        <f>'gadu šķirošana'!K13*J123</f>
        <v>41015.94</v>
      </c>
      <c r="K92" s="746">
        <f>'gadu šķirošana'!L13*K123</f>
        <v>41797.196000000004</v>
      </c>
      <c r="L92" s="746">
        <f>'gadu šķirošana'!M13*L123</f>
        <v>42578.452000000005</v>
      </c>
      <c r="M92" s="746">
        <f>'gadu šķirošana'!N13*M123</f>
        <v>42969.080000000009</v>
      </c>
      <c r="N92" s="746">
        <f>'gadu šķirošana'!O13*N123</f>
        <v>43359.708000000006</v>
      </c>
      <c r="O92" s="746">
        <f>'gadu šķirošana'!P13*O123</f>
        <v>44140.964</v>
      </c>
      <c r="P92" s="746">
        <f>'gadu šķirošana'!Q13*P123</f>
        <v>44922.22</v>
      </c>
      <c r="Q92" s="746">
        <f>'gadu šķirošana'!R13*Q123</f>
        <v>46094.103999999999</v>
      </c>
      <c r="R92" s="746">
        <f>'gadu šķirošana'!S13*R123</f>
        <v>46875.360000000001</v>
      </c>
      <c r="S92" s="746">
        <f>'gadu šķirošana'!T13*S123</f>
        <v>48047.244000000006</v>
      </c>
      <c r="T92" s="746">
        <f>'gadu šķirošana'!U13*T123</f>
        <v>48828.5</v>
      </c>
      <c r="U92" s="746">
        <f>'gadu šķirošana'!V13*U123</f>
        <v>50000.384000000005</v>
      </c>
      <c r="V92" s="746">
        <f>'gadu šķirošana'!W13*V123</f>
        <v>50781.640000000007</v>
      </c>
      <c r="W92" s="746">
        <f>'gadu šķirošana'!X13*W123</f>
        <v>51953.524000000005</v>
      </c>
      <c r="X92" s="746">
        <f>'gadu šķirošana'!Y13*X123</f>
        <v>52734.780000000006</v>
      </c>
      <c r="Y92" s="746">
        <f>'gadu šķirošana'!Z13*Y123</f>
        <v>53906.663999999997</v>
      </c>
      <c r="Z92" s="746">
        <f>'gadu šķirošana'!AA13*Z123</f>
        <v>54687.92</v>
      </c>
      <c r="AA92" s="746">
        <f>'gadu šķirošana'!AB13*AA123</f>
        <v>55859.804000000004</v>
      </c>
      <c r="AB92" s="746">
        <f>'gadu šķirošana'!AC13*AB123</f>
        <v>57031.688000000002</v>
      </c>
      <c r="AC92" s="746">
        <f>'gadu šķirošana'!AD13*AC123</f>
        <v>57812.944000000003</v>
      </c>
      <c r="AD92" s="746">
        <f>'gadu šķirošana'!AE13*AD123</f>
        <v>58984.828000000001</v>
      </c>
      <c r="AE92" s="746">
        <f>'gadu šķirošana'!AF13*AE123</f>
        <v>60156.712000000007</v>
      </c>
      <c r="AF92" s="746">
        <f>'gadu šķirošana'!AG13*AF123</f>
        <v>61328.596000000005</v>
      </c>
      <c r="AG92" s="746">
        <f>'gadu šķirošana'!AH13*AG123</f>
        <v>62500.48000000001</v>
      </c>
      <c r="AH92" s="746">
        <f>'gadu šķirošana'!AI13*AH123</f>
        <v>64062.991999999998</v>
      </c>
      <c r="AI92" s="746">
        <f>'gadu šķirošana'!AJ13*AI123</f>
        <v>65234.875999999997</v>
      </c>
    </row>
    <row r="93" spans="1:35" s="266" customFormat="1" ht="12.75" x14ac:dyDescent="0.2">
      <c r="A93" s="213" t="s">
        <v>93</v>
      </c>
      <c r="B93" s="745">
        <f>'gadu šķirošana'!C14*B123</f>
        <v>58408.000000000007</v>
      </c>
      <c r="C93" s="745">
        <f>'gadu šķirošana'!D14*C123</f>
        <v>48499.5</v>
      </c>
      <c r="D93" s="746">
        <f>'gadu šķirošana'!E14*D123</f>
        <v>49021</v>
      </c>
      <c r="E93" s="746">
        <f>'gadu šķirošana'!F14*E123</f>
        <v>50585.5</v>
      </c>
      <c r="F93" s="746">
        <f>'gadu šķirošana'!G14*F123</f>
        <v>51107</v>
      </c>
      <c r="G93" s="746">
        <f>'gadu šķirošana'!H14*G123</f>
        <v>52150</v>
      </c>
      <c r="H93" s="746">
        <f>'gadu šķirošana'!I14*H123</f>
        <v>53193</v>
      </c>
      <c r="I93" s="746">
        <f>'gadu šķirošana'!J14*I123</f>
        <v>53714.5</v>
      </c>
      <c r="J93" s="746">
        <f>'gadu šķirošana'!K14*J123</f>
        <v>54757.5</v>
      </c>
      <c r="K93" s="746">
        <f>'gadu šķirošana'!L14*K123</f>
        <v>55800.5</v>
      </c>
      <c r="L93" s="746">
        <f>'gadu šķirošana'!M14*L123</f>
        <v>56843.500000000007</v>
      </c>
      <c r="M93" s="746">
        <f>'gadu šķirošana'!N14*M123</f>
        <v>57365.000000000007</v>
      </c>
      <c r="N93" s="746">
        <f>'gadu šķirošana'!O14*N123</f>
        <v>57886.500000000007</v>
      </c>
      <c r="O93" s="746">
        <f>'gadu šķirošana'!P14*O123</f>
        <v>58929.499999999993</v>
      </c>
      <c r="P93" s="746">
        <f>'gadu šķirošana'!Q14*P123</f>
        <v>59972.499999999993</v>
      </c>
      <c r="Q93" s="746">
        <f>'gadu šķirošana'!R14*Q123</f>
        <v>61537</v>
      </c>
      <c r="R93" s="746">
        <f>'gadu šķirošana'!S14*R123</f>
        <v>62580</v>
      </c>
      <c r="S93" s="746">
        <f>'gadu šķirošana'!T14*S123</f>
        <v>64144.5</v>
      </c>
      <c r="T93" s="746">
        <f>'gadu šķirošana'!U14*T123</f>
        <v>65187.5</v>
      </c>
      <c r="U93" s="746">
        <f>'gadu šķirošana'!V14*U123</f>
        <v>66752</v>
      </c>
      <c r="V93" s="746">
        <f>'gadu šķirošana'!W14*V123</f>
        <v>67795</v>
      </c>
      <c r="W93" s="746">
        <f>'gadu šķirošana'!X14*W123</f>
        <v>69359.5</v>
      </c>
      <c r="X93" s="746">
        <f>'gadu šķirošana'!Y14*X123</f>
        <v>70402.5</v>
      </c>
      <c r="Y93" s="746">
        <f>'gadu šķirošana'!Z14*Y123</f>
        <v>71967</v>
      </c>
      <c r="Z93" s="746">
        <f>'gadu šķirošana'!AA14*Z123</f>
        <v>73010</v>
      </c>
      <c r="AA93" s="746">
        <f>'gadu šķirošana'!AB14*AA123</f>
        <v>74574.5</v>
      </c>
      <c r="AB93" s="746">
        <f>'gadu šķirošana'!AC14*AB123</f>
        <v>76139</v>
      </c>
      <c r="AC93" s="746">
        <f>'gadu šķirošana'!AD14*AC123</f>
        <v>77182</v>
      </c>
      <c r="AD93" s="746">
        <f>'gadu šķirošana'!AE14*AD123</f>
        <v>78746.5</v>
      </c>
      <c r="AE93" s="746">
        <f>'gadu šķirošana'!AF14*AE123</f>
        <v>80311</v>
      </c>
      <c r="AF93" s="746">
        <f>'gadu šķirošana'!AG14*AF123</f>
        <v>81875.5</v>
      </c>
      <c r="AG93" s="746">
        <f>'gadu šķirošana'!AH14*AG123</f>
        <v>83440</v>
      </c>
      <c r="AH93" s="746">
        <f>'gadu šķirošana'!AI14*AH123</f>
        <v>85526</v>
      </c>
      <c r="AI93" s="746">
        <f>'gadu šķirošana'!AJ14*AI123</f>
        <v>87090.499999999985</v>
      </c>
    </row>
    <row r="94" spans="1:35" s="7" customFormat="1" ht="12.75" x14ac:dyDescent="0.2">
      <c r="A94" s="269" t="s">
        <v>94</v>
      </c>
      <c r="B94" s="711">
        <f>SUM(B91:B93)</f>
        <v>356513.696</v>
      </c>
      <c r="C94" s="711">
        <f t="shared" ref="C94:AG94" si="105">SUM(C91:C93)</f>
        <v>296033.69400000002</v>
      </c>
      <c r="D94" s="711">
        <f t="shared" si="105"/>
        <v>299216.85199999996</v>
      </c>
      <c r="E94" s="711">
        <f t="shared" si="105"/>
        <v>311173.86599999998</v>
      </c>
      <c r="F94" s="711">
        <f t="shared" si="105"/>
        <v>314381.84399999998</v>
      </c>
      <c r="G94" s="711">
        <f t="shared" si="105"/>
        <v>320797.8</v>
      </c>
      <c r="H94" s="711">
        <f t="shared" si="105"/>
        <v>327213.75599999999</v>
      </c>
      <c r="I94" s="711">
        <f t="shared" si="105"/>
        <v>330421.734</v>
      </c>
      <c r="J94" s="711">
        <f t="shared" si="105"/>
        <v>336837.69</v>
      </c>
      <c r="K94" s="711">
        <f t="shared" si="105"/>
        <v>343253.64600000001</v>
      </c>
      <c r="L94" s="711">
        <f t="shared" si="105"/>
        <v>349669.60200000001</v>
      </c>
      <c r="M94" s="711">
        <f t="shared" si="105"/>
        <v>352877.58</v>
      </c>
      <c r="N94" s="711">
        <f t="shared" si="105"/>
        <v>356085.55800000002</v>
      </c>
      <c r="O94" s="711">
        <f t="shared" si="105"/>
        <v>362501.51399999997</v>
      </c>
      <c r="P94" s="711">
        <f t="shared" si="105"/>
        <v>368917.47</v>
      </c>
      <c r="Q94" s="711">
        <f t="shared" si="105"/>
        <v>378541.40399999998</v>
      </c>
      <c r="R94" s="711">
        <f t="shared" si="105"/>
        <v>384957.36</v>
      </c>
      <c r="S94" s="711">
        <f t="shared" si="105"/>
        <v>394581.29399999999</v>
      </c>
      <c r="T94" s="711">
        <f t="shared" si="105"/>
        <v>400997.25</v>
      </c>
      <c r="U94" s="711">
        <f t="shared" si="105"/>
        <v>410621.18400000001</v>
      </c>
      <c r="V94" s="711">
        <f t="shared" si="105"/>
        <v>417037.14</v>
      </c>
      <c r="W94" s="711">
        <f t="shared" si="105"/>
        <v>426661.07400000002</v>
      </c>
      <c r="X94" s="711">
        <f t="shared" si="105"/>
        <v>433077.03</v>
      </c>
      <c r="Y94" s="711">
        <f t="shared" si="105"/>
        <v>442700.96399999998</v>
      </c>
      <c r="Z94" s="711">
        <f t="shared" si="105"/>
        <v>449116.92</v>
      </c>
      <c r="AA94" s="711">
        <f t="shared" si="105"/>
        <v>458740.85399999999</v>
      </c>
      <c r="AB94" s="711">
        <f t="shared" si="105"/>
        <v>468364.788</v>
      </c>
      <c r="AC94" s="711">
        <f t="shared" si="105"/>
        <v>474780.74400000001</v>
      </c>
      <c r="AD94" s="711">
        <f t="shared" si="105"/>
        <v>484404.67799999996</v>
      </c>
      <c r="AE94" s="711">
        <f t="shared" si="105"/>
        <v>494028.61200000002</v>
      </c>
      <c r="AF94" s="711">
        <f t="shared" si="105"/>
        <v>503652.54600000003</v>
      </c>
      <c r="AG94" s="711">
        <f t="shared" si="105"/>
        <v>513276.48</v>
      </c>
      <c r="AH94" s="711">
        <f>SUM(AH91:AH93)</f>
        <v>526108.39199999999</v>
      </c>
      <c r="AI94" s="711">
        <f>SUM(AI91:AI93)</f>
        <v>535732.32599999988</v>
      </c>
    </row>
    <row r="95" spans="1:35" s="7" customFormat="1" ht="25.5" x14ac:dyDescent="0.2">
      <c r="A95" s="178" t="s">
        <v>95</v>
      </c>
      <c r="B95" s="711">
        <f>B94+B90</f>
        <v>681344.79599999997</v>
      </c>
      <c r="C95" s="711">
        <f t="shared" ref="C95:AG95" si="106">C94+C90</f>
        <v>620864.79399999999</v>
      </c>
      <c r="D95" s="711">
        <f t="shared" si="106"/>
        <v>583271.28199999989</v>
      </c>
      <c r="E95" s="711">
        <f t="shared" si="106"/>
        <v>602550.30599999998</v>
      </c>
      <c r="F95" s="711">
        <f t="shared" si="106"/>
        <v>610980.08400000003</v>
      </c>
      <c r="G95" s="711">
        <f t="shared" si="106"/>
        <v>622269.72</v>
      </c>
      <c r="H95" s="711">
        <f t="shared" si="106"/>
        <v>633907.47600000002</v>
      </c>
      <c r="I95" s="711">
        <f t="shared" si="106"/>
        <v>641989.13400000008</v>
      </c>
      <c r="J95" s="711">
        <f t="shared" si="106"/>
        <v>653626.8899999999</v>
      </c>
      <c r="K95" s="711">
        <f t="shared" si="106"/>
        <v>664916.52599999995</v>
      </c>
      <c r="L95" s="711">
        <f t="shared" si="106"/>
        <v>677250.522</v>
      </c>
      <c r="M95" s="711">
        <f t="shared" si="106"/>
        <v>686376.54</v>
      </c>
      <c r="N95" s="711">
        <f t="shared" si="106"/>
        <v>688888.27800000005</v>
      </c>
      <c r="O95" s="711">
        <f t="shared" si="106"/>
        <v>701222.27399999998</v>
      </c>
      <c r="P95" s="711">
        <f t="shared" si="106"/>
        <v>715296.86999999988</v>
      </c>
      <c r="Q95" s="711">
        <f t="shared" si="106"/>
        <v>732579.4439999999</v>
      </c>
      <c r="R95" s="711">
        <f t="shared" si="106"/>
        <v>746654.04</v>
      </c>
      <c r="S95" s="711">
        <f t="shared" si="106"/>
        <v>763936.61400000006</v>
      </c>
      <c r="T95" s="711">
        <f t="shared" si="106"/>
        <v>778011.21</v>
      </c>
      <c r="U95" s="711">
        <f t="shared" si="106"/>
        <v>795293.78399999999</v>
      </c>
      <c r="V95" s="711">
        <f t="shared" si="106"/>
        <v>809716.5</v>
      </c>
      <c r="W95" s="711">
        <f t="shared" si="106"/>
        <v>826999.07400000002</v>
      </c>
      <c r="X95" s="711">
        <f t="shared" si="106"/>
        <v>841073.66999999993</v>
      </c>
      <c r="Y95" s="711">
        <f t="shared" si="106"/>
        <v>858356.24399999995</v>
      </c>
      <c r="Z95" s="711">
        <f t="shared" si="106"/>
        <v>872430.84</v>
      </c>
      <c r="AA95" s="711">
        <f t="shared" si="106"/>
        <v>889713.41399999999</v>
      </c>
      <c r="AB95" s="711">
        <f t="shared" si="106"/>
        <v>907692.228</v>
      </c>
      <c r="AC95" s="711">
        <f t="shared" si="106"/>
        <v>922811.18400000001</v>
      </c>
      <c r="AD95" s="711">
        <f t="shared" si="106"/>
        <v>940789.99799999991</v>
      </c>
      <c r="AE95" s="711">
        <f t="shared" si="106"/>
        <v>958768.81199999992</v>
      </c>
      <c r="AF95" s="711">
        <f t="shared" si="106"/>
        <v>978836.34600000014</v>
      </c>
      <c r="AG95" s="711">
        <f t="shared" si="106"/>
        <v>998555.76</v>
      </c>
      <c r="AH95" s="711">
        <f>AH94+AH90</f>
        <v>1021831.272</v>
      </c>
      <c r="AI95" s="711">
        <f>AI94+AI90</f>
        <v>1041550.6859999999</v>
      </c>
    </row>
    <row r="96" spans="1:35" s="7" customFormat="1" ht="25.5" x14ac:dyDescent="0.2">
      <c r="A96" s="178" t="s">
        <v>96</v>
      </c>
      <c r="B96" s="711">
        <f>B95-B86</f>
        <v>203949.89599999995</v>
      </c>
      <c r="C96" s="711">
        <f t="shared" ref="C96:AG96" si="107">C95-C86</f>
        <v>129148.05070000002</v>
      </c>
      <c r="D96" s="711">
        <f t="shared" si="107"/>
        <v>67378.801999999909</v>
      </c>
      <c r="E96" s="711">
        <f t="shared" si="107"/>
        <v>75370.58600000001</v>
      </c>
      <c r="F96" s="711">
        <f t="shared" si="107"/>
        <v>74002.204000000027</v>
      </c>
      <c r="G96" s="711">
        <f t="shared" si="107"/>
        <v>75493.679999999935</v>
      </c>
      <c r="H96" s="711">
        <f t="shared" si="107"/>
        <v>77333.276000000071</v>
      </c>
      <c r="I96" s="711">
        <f t="shared" si="107"/>
        <v>75616.774000000092</v>
      </c>
      <c r="J96" s="711">
        <f t="shared" si="107"/>
        <v>77456.369999999879</v>
      </c>
      <c r="K96" s="711">
        <f t="shared" si="107"/>
        <v>78947.84600000002</v>
      </c>
      <c r="L96" s="711">
        <f t="shared" si="107"/>
        <v>79994.602000000072</v>
      </c>
      <c r="M96" s="711">
        <f t="shared" si="107"/>
        <v>77833.38</v>
      </c>
      <c r="N96" s="711">
        <f t="shared" si="107"/>
        <v>69057.878000000026</v>
      </c>
      <c r="O96" s="711">
        <f t="shared" si="107"/>
        <v>66694.633999999962</v>
      </c>
      <c r="P96" s="711">
        <f t="shared" si="107"/>
        <v>66071.989999999874</v>
      </c>
      <c r="Q96" s="711">
        <f t="shared" si="107"/>
        <v>68657.323999999906</v>
      </c>
      <c r="R96" s="711">
        <f t="shared" si="107"/>
        <v>68034.680000000051</v>
      </c>
      <c r="S96" s="711">
        <f t="shared" si="107"/>
        <v>70620.014000000083</v>
      </c>
      <c r="T96" s="711">
        <f t="shared" si="107"/>
        <v>69997.37</v>
      </c>
      <c r="U96" s="711">
        <f t="shared" si="107"/>
        <v>72582.703999999911</v>
      </c>
      <c r="V96" s="711">
        <f t="shared" si="107"/>
        <v>72308.179999999935</v>
      </c>
      <c r="W96" s="711">
        <f t="shared" si="107"/>
        <v>74893.513999999966</v>
      </c>
      <c r="X96" s="711">
        <f t="shared" si="107"/>
        <v>74270.869999999879</v>
      </c>
      <c r="Y96" s="711">
        <f t="shared" si="107"/>
        <v>76856.203999999911</v>
      </c>
      <c r="Z96" s="711">
        <f t="shared" si="107"/>
        <v>76233.559999999939</v>
      </c>
      <c r="AA96" s="711">
        <f t="shared" si="107"/>
        <v>78818.893999999971</v>
      </c>
      <c r="AB96" s="711">
        <f t="shared" si="107"/>
        <v>80611.388000000035</v>
      </c>
      <c r="AC96" s="711">
        <f t="shared" si="107"/>
        <v>79544.023999999976</v>
      </c>
      <c r="AD96" s="711">
        <f t="shared" si="107"/>
        <v>81336.517999999924</v>
      </c>
      <c r="AE96" s="711">
        <f t="shared" si="107"/>
        <v>83129.011999999871</v>
      </c>
      <c r="AF96" s="711">
        <f t="shared" si="107"/>
        <v>83600.226000000141</v>
      </c>
      <c r="AG96" s="711">
        <f t="shared" si="107"/>
        <v>83723.320000000065</v>
      </c>
      <c r="AH96" s="711">
        <f>AH95-AH86</f>
        <v>87402.511999999988</v>
      </c>
      <c r="AI96" s="711">
        <f>AI95-AI86</f>
        <v>87525.605999999912</v>
      </c>
    </row>
    <row r="97" spans="1:35" s="276" customFormat="1" x14ac:dyDescent="0.2">
      <c r="B97" s="759"/>
      <c r="C97" s="759"/>
      <c r="D97" s="759"/>
      <c r="E97" s="759"/>
      <c r="F97" s="759"/>
      <c r="G97" s="759"/>
      <c r="H97" s="759"/>
      <c r="I97" s="759"/>
      <c r="J97" s="759"/>
      <c r="K97" s="759"/>
      <c r="L97" s="759"/>
      <c r="M97" s="759"/>
      <c r="N97" s="759"/>
      <c r="O97" s="759"/>
      <c r="P97" s="759"/>
      <c r="Q97" s="759"/>
      <c r="R97" s="759"/>
      <c r="S97" s="759"/>
      <c r="T97" s="759"/>
      <c r="U97" s="759"/>
      <c r="V97" s="759"/>
      <c r="W97" s="759"/>
      <c r="X97" s="759"/>
      <c r="Y97" s="759"/>
      <c r="Z97" s="759"/>
      <c r="AA97" s="759"/>
      <c r="AB97" s="759"/>
      <c r="AC97" s="759"/>
      <c r="AD97" s="759"/>
      <c r="AE97" s="759"/>
      <c r="AF97" s="759"/>
      <c r="AG97" s="759"/>
      <c r="AH97" s="759"/>
      <c r="AI97" s="759"/>
    </row>
    <row r="98" spans="1:35" s="276" customFormat="1" ht="12.75" x14ac:dyDescent="0.2">
      <c r="A98" s="277" t="s">
        <v>365</v>
      </c>
      <c r="B98" s="759"/>
      <c r="C98" s="759"/>
      <c r="D98" s="759"/>
      <c r="E98" s="759"/>
      <c r="F98" s="759"/>
      <c r="G98" s="759"/>
      <c r="H98" s="759"/>
      <c r="I98" s="759"/>
      <c r="J98" s="759"/>
      <c r="K98" s="759"/>
      <c r="L98" s="759"/>
      <c r="M98" s="759"/>
      <c r="N98" s="759"/>
      <c r="O98" s="759"/>
      <c r="P98" s="759"/>
      <c r="Q98" s="759"/>
      <c r="R98" s="759"/>
      <c r="S98" s="759"/>
      <c r="T98" s="759"/>
      <c r="U98" s="759"/>
      <c r="V98" s="759"/>
      <c r="W98" s="759"/>
      <c r="X98" s="759"/>
      <c r="Y98" s="759"/>
      <c r="Z98" s="759"/>
      <c r="AA98" s="759"/>
      <c r="AB98" s="759"/>
      <c r="AC98" s="759"/>
      <c r="AD98" s="759"/>
      <c r="AE98" s="759"/>
      <c r="AF98" s="759"/>
      <c r="AG98" s="759"/>
      <c r="AH98" s="759"/>
      <c r="AI98" s="759"/>
    </row>
    <row r="99" spans="1:35" s="276" customFormat="1" outlineLevel="1" x14ac:dyDescent="0.2">
      <c r="A99" s="278" t="s">
        <v>368</v>
      </c>
      <c r="B99" s="759">
        <f>SUM(B65:B69,B78:B80)</f>
        <v>231927.67</v>
      </c>
      <c r="C99" s="759">
        <f t="shared" ref="C99:H99" si="108">SUM(C65:C69,C78:C80)</f>
        <v>238885.49960000001</v>
      </c>
      <c r="D99" s="759">
        <f t="shared" si="108"/>
        <v>252171.24</v>
      </c>
      <c r="E99" s="759">
        <f t="shared" si="108"/>
        <v>257704.86</v>
      </c>
      <c r="F99" s="759">
        <f t="shared" si="108"/>
        <v>262493.94</v>
      </c>
      <c r="G99" s="759">
        <f t="shared" si="108"/>
        <v>267283.02</v>
      </c>
      <c r="H99" s="759">
        <f t="shared" si="108"/>
        <v>272072.09999999998</v>
      </c>
      <c r="I99" s="759">
        <f t="shared" ref="I99:AH99" si="109">SUM(I65:I69,I78:I80)</f>
        <v>276861.18</v>
      </c>
      <c r="J99" s="759">
        <f t="shared" si="109"/>
        <v>281650.26</v>
      </c>
      <c r="K99" s="759">
        <f t="shared" si="109"/>
        <v>286439.34000000003</v>
      </c>
      <c r="L99" s="759">
        <f t="shared" si="109"/>
        <v>291972.96000000002</v>
      </c>
      <c r="M99" s="759">
        <f t="shared" si="109"/>
        <v>297506.58</v>
      </c>
      <c r="N99" s="759">
        <f t="shared" si="109"/>
        <v>303040.2</v>
      </c>
      <c r="O99" s="759">
        <f t="shared" si="109"/>
        <v>310223.82</v>
      </c>
      <c r="P99" s="759">
        <f t="shared" si="109"/>
        <v>317407.44</v>
      </c>
      <c r="Q99" s="759">
        <f t="shared" si="109"/>
        <v>324591.06</v>
      </c>
      <c r="R99" s="759">
        <f t="shared" si="109"/>
        <v>331774.68</v>
      </c>
      <c r="S99" s="759">
        <f t="shared" si="109"/>
        <v>338958.3</v>
      </c>
      <c r="T99" s="759">
        <f t="shared" si="109"/>
        <v>346141.92</v>
      </c>
      <c r="U99" s="759">
        <f t="shared" si="109"/>
        <v>353325.54</v>
      </c>
      <c r="V99" s="759">
        <f t="shared" si="109"/>
        <v>360509.16</v>
      </c>
      <c r="W99" s="759">
        <f t="shared" si="109"/>
        <v>367692.78</v>
      </c>
      <c r="X99" s="759">
        <f t="shared" si="109"/>
        <v>374876.4</v>
      </c>
      <c r="Y99" s="759">
        <f t="shared" si="109"/>
        <v>382060.02</v>
      </c>
      <c r="Z99" s="759">
        <f t="shared" si="109"/>
        <v>389243.64</v>
      </c>
      <c r="AA99" s="759">
        <f t="shared" si="109"/>
        <v>396427.26</v>
      </c>
      <c r="AB99" s="759">
        <f t="shared" si="109"/>
        <v>404355.42</v>
      </c>
      <c r="AC99" s="759">
        <f t="shared" si="109"/>
        <v>412283.58</v>
      </c>
      <c r="AD99" s="759">
        <f t="shared" si="109"/>
        <v>420211.74</v>
      </c>
      <c r="AE99" s="759">
        <f t="shared" si="109"/>
        <v>428139.9</v>
      </c>
      <c r="AF99" s="759">
        <f t="shared" si="109"/>
        <v>437718.06</v>
      </c>
      <c r="AG99" s="759">
        <f t="shared" si="109"/>
        <v>447296.22</v>
      </c>
      <c r="AH99" s="759">
        <f t="shared" si="109"/>
        <v>456874.38</v>
      </c>
      <c r="AI99" s="759">
        <f>SUM(AI65:AI69,AI78:AI80)</f>
        <v>466452.54</v>
      </c>
    </row>
    <row r="100" spans="1:35" s="276" customFormat="1" outlineLevel="1" x14ac:dyDescent="0.2">
      <c r="A100" s="278" t="s">
        <v>369</v>
      </c>
      <c r="B100" s="759">
        <f>SUM(Aprekini!B19:B22,Aprekini!B38,Aprekini!B44,Aprekini!B50)</f>
        <v>7710</v>
      </c>
      <c r="C100" s="759">
        <f>SUM(Aprekini!C19:C22,Aprekini!C38,Aprekini!C44,Aprekini!C50)</f>
        <v>7710</v>
      </c>
      <c r="D100" s="759">
        <f>SUM(Aprekini!D19:D22,Aprekini!D38,Aprekini!D44,Aprekini!D50)</f>
        <v>5996</v>
      </c>
      <c r="E100" s="759">
        <f>SUM(Aprekini!E19:E22,Aprekini!E38,Aprekini!E44,Aprekini!E50)</f>
        <v>5710</v>
      </c>
      <c r="F100" s="759">
        <f>SUM(Aprekini!F19:F22,Aprekini!F38,Aprekini!F44,Aprekini!F50)</f>
        <v>5710</v>
      </c>
      <c r="G100" s="759">
        <f>SUM(Aprekini!G19:G22,Aprekini!G38,Aprekini!G44,Aprekini!G50)</f>
        <v>5710</v>
      </c>
      <c r="H100" s="759">
        <f>SUM(Aprekini!H19:H22,Aprekini!H38,Aprekini!H44,Aprekini!H50)</f>
        <v>5710</v>
      </c>
      <c r="I100" s="759">
        <f>SUM(Aprekini!I19:I22,Aprekini!I38,Aprekini!I44,Aprekini!I50)</f>
        <v>5710</v>
      </c>
      <c r="J100" s="759">
        <f>SUM(Aprekini!J19:J22,Aprekini!J38,Aprekini!J44,Aprekini!J50)</f>
        <v>5710</v>
      </c>
      <c r="K100" s="759">
        <f>SUM(Aprekini!K19:K22,Aprekini!K38,Aprekini!K44,Aprekini!K50)</f>
        <v>5710</v>
      </c>
      <c r="L100" s="759">
        <f>SUM(Aprekini!L19:L22,Aprekini!L38,Aprekini!L44,Aprekini!L50)</f>
        <v>5710</v>
      </c>
      <c r="M100" s="759">
        <f>SUM(Aprekini!M19:M22,Aprekini!M38,Aprekini!M44,Aprekini!M50)</f>
        <v>5710</v>
      </c>
      <c r="N100" s="759">
        <f>SUM(Aprekini!N19:N22,Aprekini!N38,Aprekini!N44,Aprekini!N50)</f>
        <v>5710</v>
      </c>
      <c r="O100" s="759">
        <f>SUM(Aprekini!O19:O22,Aprekini!O38,Aprekini!O44,Aprekini!O50)</f>
        <v>5710</v>
      </c>
      <c r="P100" s="759">
        <f>SUM(Aprekini!P19:P22,Aprekini!P38,Aprekini!P44,Aprekini!P50)</f>
        <v>5710</v>
      </c>
      <c r="Q100" s="759">
        <f>SUM(Aprekini!Q19:Q22,Aprekini!Q38,Aprekini!Q44,Aprekini!Q50)</f>
        <v>5710</v>
      </c>
      <c r="R100" s="759">
        <f>SUM(Aprekini!R19:R22,Aprekini!R38,Aprekini!R44,Aprekini!R50)</f>
        <v>5710</v>
      </c>
      <c r="S100" s="759">
        <f>SUM(Aprekini!S19:S22,Aprekini!S38,Aprekini!S44,Aprekini!S50)</f>
        <v>5710</v>
      </c>
      <c r="T100" s="759">
        <f>SUM(Aprekini!T19:T22,Aprekini!T38,Aprekini!T44,Aprekini!T50)</f>
        <v>5710</v>
      </c>
      <c r="U100" s="759">
        <f>SUM(Aprekini!U19:U22,Aprekini!U38,Aprekini!U44,Aprekini!U50)</f>
        <v>5710</v>
      </c>
      <c r="V100" s="759">
        <f>SUM(Aprekini!V19:V22,Aprekini!V38,Aprekini!V44,Aprekini!V50)</f>
        <v>5710</v>
      </c>
      <c r="W100" s="759">
        <f>SUM(Aprekini!W19:W22,Aprekini!W38,Aprekini!W44,Aprekini!W50)</f>
        <v>5710</v>
      </c>
      <c r="X100" s="759">
        <f>SUM(Aprekini!X19:X22,Aprekini!X38,Aprekini!X44,Aprekini!X50)</f>
        <v>5710</v>
      </c>
      <c r="Y100" s="759">
        <f>SUM(Aprekini!Y19:Y22,Aprekini!Y38,Aprekini!Y44,Aprekini!Y50)</f>
        <v>5710</v>
      </c>
      <c r="Z100" s="759">
        <f>SUM(Aprekini!Z19:Z22,Aprekini!Z38,Aprekini!Z44,Aprekini!Z50)</f>
        <v>5710</v>
      </c>
      <c r="AA100" s="759">
        <f>SUM(Aprekini!AA19:AA22,Aprekini!AA38,Aprekini!AA44,Aprekini!AA50)</f>
        <v>5710</v>
      </c>
      <c r="AB100" s="759">
        <f>SUM(Aprekini!AB19:AB22,Aprekini!AB38,Aprekini!AB44,Aprekini!AB50)</f>
        <v>5710</v>
      </c>
      <c r="AC100" s="759">
        <f>SUM(Aprekini!AC19:AC22,Aprekini!AC38,Aprekini!AC44,Aprekini!AC50)</f>
        <v>5710</v>
      </c>
      <c r="AD100" s="759">
        <f>SUM(Aprekini!AD19:AD22,Aprekini!AD38,Aprekini!AD44,Aprekini!AD50)</f>
        <v>5710</v>
      </c>
      <c r="AE100" s="759">
        <f>SUM(Aprekini!AE19:AE22,Aprekini!AE38,Aprekini!AE44,Aprekini!AE50)</f>
        <v>5710</v>
      </c>
      <c r="AF100" s="759">
        <f>SUM(Aprekini!AF19:AF22,Aprekini!AF38,Aprekini!AF44,Aprekini!AF50)</f>
        <v>5710</v>
      </c>
      <c r="AG100" s="759">
        <f>SUM(Aprekini!AG19:AG22,Aprekini!AG38,Aprekini!AG44,Aprekini!AG50)</f>
        <v>5710</v>
      </c>
      <c r="AH100" s="759">
        <f>SUM(Aprekini!AH19:AH22,Aprekini!AH38,Aprekini!AH44,Aprekini!AH50)</f>
        <v>5710</v>
      </c>
      <c r="AI100" s="759">
        <f>SUM(Aprekini!AI19:AI22,Aprekini!AI38,Aprekini!AI44,Aprekini!AI50)</f>
        <v>5710</v>
      </c>
    </row>
    <row r="101" spans="1:35" s="276" customFormat="1" outlineLevel="1" x14ac:dyDescent="0.2">
      <c r="A101" s="278" t="s">
        <v>370</v>
      </c>
      <c r="B101" s="759">
        <f>SUM(Aprekini!B81,Aprekini!B87,Aprekini!B93,Aprekini!B38,Aprekini!B44,Aprekini!B50)*'Datu ievade'!B144</f>
        <v>0</v>
      </c>
      <c r="C101" s="759">
        <f>SUM(Aprekini!C81,Aprekini!C87,Aprekini!C93,Aprekini!C38,Aprekini!C44,Aprekini!C50)*'Datu ievade'!C144</f>
        <v>0</v>
      </c>
      <c r="D101" s="759">
        <f>SUM(Aprekini!D81,Aprekini!D87,Aprekini!D93,Aprekini!D38,Aprekini!D44,Aprekini!D50)*'Datu ievade'!D144</f>
        <v>6732</v>
      </c>
      <c r="E101" s="759">
        <f>SUM(Aprekini!E81,Aprekini!E87,Aprekini!E93,Aprekini!E38,Aprekini!E44,Aprekini!E50)*'Datu ievade'!E144</f>
        <v>6732</v>
      </c>
      <c r="F101" s="759">
        <f>SUM(Aprekini!F81,Aprekini!F87,Aprekini!F93,Aprekini!F38,Aprekini!F44,Aprekini!F50)*'Datu ievade'!F144</f>
        <v>6732</v>
      </c>
      <c r="G101" s="759">
        <f>SUM(Aprekini!G81,Aprekini!G87,Aprekini!G93,Aprekini!G38,Aprekini!G44,Aprekini!G50)*'Datu ievade'!G144</f>
        <v>6732</v>
      </c>
      <c r="H101" s="759">
        <f>SUM(Aprekini!H81,Aprekini!H87,Aprekini!H93,Aprekini!H38,Aprekini!H44,Aprekini!H50)*'Datu ievade'!H144</f>
        <v>6732</v>
      </c>
      <c r="I101" s="759">
        <f>SUM(Aprekini!I81,Aprekini!I87,Aprekini!I93,Aprekini!I38,Aprekini!I44,Aprekini!I50)*'Datu ievade'!I144</f>
        <v>6732</v>
      </c>
      <c r="J101" s="759">
        <f>SUM(Aprekini!J81,Aprekini!J87,Aprekini!J93,Aprekini!J38,Aprekini!J44,Aprekini!J50)*'Datu ievade'!J144</f>
        <v>6732</v>
      </c>
      <c r="K101" s="759">
        <f>SUM(Aprekini!K81,Aprekini!K87,Aprekini!K93,Aprekini!K38,Aprekini!K44,Aprekini!K50)*'Datu ievade'!K144</f>
        <v>6732</v>
      </c>
      <c r="L101" s="759">
        <f>SUM(Aprekini!L81,Aprekini!L87,Aprekini!L93,Aprekini!L38,Aprekini!L44,Aprekini!L50)*'Datu ievade'!L144</f>
        <v>6732</v>
      </c>
      <c r="M101" s="759">
        <f>SUM(Aprekini!M81,Aprekini!M87,Aprekini!M93,Aprekini!M38,Aprekini!M44,Aprekini!M50)*'Datu ievade'!M144</f>
        <v>6732</v>
      </c>
      <c r="N101" s="759">
        <f>SUM(Aprekini!N81,Aprekini!N87,Aprekini!N93,Aprekini!N38,Aprekini!N44,Aprekini!N50)*'Datu ievade'!N144</f>
        <v>612</v>
      </c>
      <c r="O101" s="759">
        <f>SUM(Aprekini!O81,Aprekini!O87,Aprekini!O93,Aprekini!O38,Aprekini!O44,Aprekini!O50)*'Datu ievade'!O144</f>
        <v>612</v>
      </c>
      <c r="P101" s="759">
        <f>SUM(Aprekini!P81,Aprekini!P87,Aprekini!P93,Aprekini!P38,Aprekini!P44,Aprekini!P50)*'Datu ievade'!P144</f>
        <v>612</v>
      </c>
      <c r="Q101" s="759">
        <f>SUM(Aprekini!Q81,Aprekini!Q87,Aprekini!Q93,Aprekini!Q38,Aprekini!Q44,Aprekini!Q50)*'Datu ievade'!Q144</f>
        <v>612</v>
      </c>
      <c r="R101" s="759">
        <f>SUM(Aprekini!R81,Aprekini!R87,Aprekini!R93,Aprekini!R38,Aprekini!R44,Aprekini!R50)*'Datu ievade'!R144</f>
        <v>612</v>
      </c>
      <c r="S101" s="759">
        <f>SUM(Aprekini!S81,Aprekini!S87,Aprekini!S93,Aprekini!S38,Aprekini!S44,Aprekini!S50)*'Datu ievade'!S144</f>
        <v>612</v>
      </c>
      <c r="T101" s="759">
        <f>SUM(Aprekini!T81,Aprekini!T87,Aprekini!T93,Aprekini!T38,Aprekini!T44,Aprekini!T50)*'Datu ievade'!T144</f>
        <v>612</v>
      </c>
      <c r="U101" s="759">
        <f>SUM(Aprekini!U81,Aprekini!U87,Aprekini!U93,Aprekini!U38,Aprekini!U44,Aprekini!U50)*'Datu ievade'!U144</f>
        <v>612</v>
      </c>
      <c r="V101" s="759">
        <f>SUM(Aprekini!V81,Aprekini!V87,Aprekini!V93,Aprekini!V38,Aprekini!V44,Aprekini!V50)*'Datu ievade'!V144</f>
        <v>612</v>
      </c>
      <c r="W101" s="759">
        <f>SUM(Aprekini!W81,Aprekini!W87,Aprekini!W93,Aprekini!W38,Aprekini!W44,Aprekini!W50)*'Datu ievade'!W144</f>
        <v>612</v>
      </c>
      <c r="X101" s="759">
        <f>SUM(Aprekini!X81,Aprekini!X87,Aprekini!X93,Aprekini!X38,Aprekini!X44,Aprekini!X50)*'Datu ievade'!X144</f>
        <v>612</v>
      </c>
      <c r="Y101" s="759">
        <f>SUM(Aprekini!Y81,Aprekini!Y87,Aprekini!Y93,Aprekini!Y38,Aprekini!Y44,Aprekini!Y50)*'Datu ievade'!Y144</f>
        <v>612</v>
      </c>
      <c r="Z101" s="759">
        <f>SUM(Aprekini!Z81,Aprekini!Z87,Aprekini!Z93,Aprekini!Z38,Aprekini!Z44,Aprekini!Z50)*'Datu ievade'!Z144</f>
        <v>612</v>
      </c>
      <c r="AA101" s="759">
        <f>SUM(Aprekini!AA81,Aprekini!AA87,Aprekini!AA93,Aprekini!AA38,Aprekini!AA44,Aprekini!AA50)*'Datu ievade'!AA144</f>
        <v>612</v>
      </c>
      <c r="AB101" s="759">
        <f>SUM(Aprekini!AB81,Aprekini!AB87,Aprekini!AB93,Aprekini!AB38,Aprekini!AB44,Aprekini!AB50)*'Datu ievade'!AB144</f>
        <v>612</v>
      </c>
      <c r="AC101" s="759">
        <f>SUM(Aprekini!AC81,Aprekini!AC87,Aprekini!AC93,Aprekini!AC38,Aprekini!AC44,Aprekini!AC50)*'Datu ievade'!AC144</f>
        <v>612</v>
      </c>
      <c r="AD101" s="759">
        <f>SUM(Aprekini!AD81,Aprekini!AD87,Aprekini!AD93,Aprekini!AD38,Aprekini!AD44,Aprekini!AD50)*'Datu ievade'!AD144</f>
        <v>612</v>
      </c>
      <c r="AE101" s="759">
        <f>SUM(Aprekini!AE81,Aprekini!AE87,Aprekini!AE93,Aprekini!AE38,Aprekini!AE44,Aprekini!AE50)*'Datu ievade'!AE144</f>
        <v>612</v>
      </c>
      <c r="AF101" s="759">
        <f>SUM(Aprekini!AF81,Aprekini!AF87,Aprekini!AF93,Aprekini!AF38,Aprekini!AF44,Aprekini!AF50)*'Datu ievade'!AF144</f>
        <v>612</v>
      </c>
      <c r="AG101" s="759">
        <f>SUM(Aprekini!AG81,Aprekini!AG87,Aprekini!AG93,Aprekini!AG38,Aprekini!AG44,Aprekini!AG50)*'Datu ievade'!AG144</f>
        <v>612</v>
      </c>
      <c r="AH101" s="759">
        <f>SUM(Aprekini!AH81,Aprekini!AH87,Aprekini!AH93,Aprekini!AH38,Aprekini!AH44,Aprekini!AH50)*'Datu ievade'!AH144</f>
        <v>612</v>
      </c>
      <c r="AI101" s="759">
        <f>SUM(Aprekini!AI81,Aprekini!AI87,Aprekini!AI93,Aprekini!AI38,Aprekini!AI44,Aprekini!AI50)*'Datu ievade'!AI144</f>
        <v>612</v>
      </c>
    </row>
    <row r="102" spans="1:35" s="276" customFormat="1" outlineLevel="1" x14ac:dyDescent="0.2">
      <c r="A102" s="278" t="s">
        <v>371</v>
      </c>
      <c r="B102" s="759">
        <f>Aprekini!B307*$B$106</f>
        <v>0</v>
      </c>
      <c r="C102" s="759">
        <f>Aprekini!C307*$B$106</f>
        <v>0</v>
      </c>
      <c r="D102" s="759">
        <f>Aprekini!D307*$B$106</f>
        <v>648.79763945085438</v>
      </c>
      <c r="E102" s="759">
        <f>Aprekini!E307*$B$106</f>
        <v>648.79763945085438</v>
      </c>
      <c r="F102" s="759">
        <f>Aprekini!F307*$B$106</f>
        <v>583.91787550576885</v>
      </c>
      <c r="G102" s="759">
        <f>Aprekini!G307*$B$106</f>
        <v>519.03811156068343</v>
      </c>
      <c r="H102" s="759">
        <f>Aprekini!H307*$B$106</f>
        <v>454.15834761559802</v>
      </c>
      <c r="I102" s="759">
        <f>Aprekini!I307*$B$106</f>
        <v>389.2785836705126</v>
      </c>
      <c r="J102" s="759">
        <f>Aprekini!J307*$B$106</f>
        <v>324.39881972542719</v>
      </c>
      <c r="K102" s="759">
        <f>Aprekini!K307*$B$106</f>
        <v>259.51905578034172</v>
      </c>
      <c r="L102" s="759">
        <f>Aprekini!L307*$B$106</f>
        <v>194.6392918352563</v>
      </c>
      <c r="M102" s="759">
        <f>Aprekini!M307*$B$106</f>
        <v>129.75952789017086</v>
      </c>
      <c r="N102" s="759">
        <f>Aprekini!N307*$B$106</f>
        <v>64.879763945085429</v>
      </c>
      <c r="O102" s="759">
        <f>Aprekini!O307*$B$106</f>
        <v>0</v>
      </c>
      <c r="P102" s="759">
        <f>Aprekini!P307*$B$106</f>
        <v>0</v>
      </c>
      <c r="Q102" s="759">
        <f>Aprekini!Q307*$B$106</f>
        <v>0</v>
      </c>
      <c r="R102" s="759">
        <f>Aprekini!R307*$B$106</f>
        <v>0</v>
      </c>
      <c r="S102" s="759">
        <f>Aprekini!S307*$B$106</f>
        <v>0</v>
      </c>
      <c r="T102" s="759">
        <f>Aprekini!T307*$B$106</f>
        <v>0</v>
      </c>
      <c r="U102" s="759">
        <f>Aprekini!U307*$B$106</f>
        <v>0</v>
      </c>
      <c r="V102" s="759">
        <f>Aprekini!V307*$B$106</f>
        <v>0</v>
      </c>
      <c r="W102" s="759">
        <f>Aprekini!W307*$B$106</f>
        <v>0</v>
      </c>
      <c r="X102" s="759">
        <f>Aprekini!X307*$B$106</f>
        <v>0</v>
      </c>
      <c r="Y102" s="759">
        <f>Aprekini!Y307*$B$106</f>
        <v>0</v>
      </c>
      <c r="Z102" s="759">
        <f>Aprekini!Z307*$B$106</f>
        <v>0</v>
      </c>
      <c r="AA102" s="759">
        <f>Aprekini!AA307*$B$106</f>
        <v>0</v>
      </c>
      <c r="AB102" s="759">
        <f>Aprekini!AB307*$B$106</f>
        <v>0</v>
      </c>
      <c r="AC102" s="759">
        <f>Aprekini!AC307*$B$106</f>
        <v>0</v>
      </c>
      <c r="AD102" s="759">
        <f>Aprekini!AD307*$B$106</f>
        <v>0</v>
      </c>
      <c r="AE102" s="759">
        <f>Aprekini!AE307*$B$106</f>
        <v>0</v>
      </c>
      <c r="AF102" s="759">
        <f>Aprekini!AF307*$B$106</f>
        <v>0</v>
      </c>
      <c r="AG102" s="759">
        <f>Aprekini!AG307*$B$106</f>
        <v>0</v>
      </c>
      <c r="AH102" s="759">
        <f>Aprekini!AH307*$B$106</f>
        <v>0</v>
      </c>
      <c r="AI102" s="759">
        <f>Aprekini!AI307*$B$106</f>
        <v>0</v>
      </c>
    </row>
    <row r="103" spans="1:35" s="276" customFormat="1" outlineLevel="1" x14ac:dyDescent="0.2">
      <c r="A103" s="278" t="s">
        <v>372</v>
      </c>
      <c r="B103" s="759">
        <f>Aprekini!B308*$B$106</f>
        <v>0</v>
      </c>
      <c r="C103" s="759">
        <f>Aprekini!C308*$B$106</f>
        <v>0</v>
      </c>
      <c r="D103" s="759">
        <f>Aprekini!D308*$B$106</f>
        <v>0</v>
      </c>
      <c r="E103" s="759">
        <f>Aprekini!E308*$B$106</f>
        <v>1621.9940986271358</v>
      </c>
      <c r="F103" s="759">
        <f>Aprekini!F308*$B$106</f>
        <v>1621.9940986271358</v>
      </c>
      <c r="G103" s="759">
        <f>Aprekini!G308*$B$106</f>
        <v>1621.9940986271358</v>
      </c>
      <c r="H103" s="759">
        <f>Aprekini!H308*$B$106</f>
        <v>1621.9940986271358</v>
      </c>
      <c r="I103" s="759">
        <f>Aprekini!I308*$B$106</f>
        <v>1621.9940986271358</v>
      </c>
      <c r="J103" s="759">
        <f>Aprekini!J308*$B$106</f>
        <v>1621.9940986271358</v>
      </c>
      <c r="K103" s="759">
        <f>Aprekini!K308*$B$106</f>
        <v>1621.9940986271358</v>
      </c>
      <c r="L103" s="759">
        <f>Aprekini!L308*$B$106</f>
        <v>1621.9940986271358</v>
      </c>
      <c r="M103" s="759">
        <f>Aprekini!M308*$B$106</f>
        <v>1621.9940986271358</v>
      </c>
      <c r="N103" s="759">
        <f>Aprekini!N308*$B$106</f>
        <v>1621.9940986271358</v>
      </c>
      <c r="O103" s="759">
        <f>Aprekini!O308*$B$106</f>
        <v>0</v>
      </c>
      <c r="P103" s="759">
        <f>Aprekini!P308*$B$106</f>
        <v>0</v>
      </c>
      <c r="Q103" s="759">
        <f>Aprekini!Q308*$B$106</f>
        <v>0</v>
      </c>
      <c r="R103" s="759">
        <f>Aprekini!R308*$B$106</f>
        <v>0</v>
      </c>
      <c r="S103" s="759">
        <f>Aprekini!S308*$B$106</f>
        <v>0</v>
      </c>
      <c r="T103" s="759">
        <f>Aprekini!T308*$B$106</f>
        <v>0</v>
      </c>
      <c r="U103" s="759">
        <f>Aprekini!U308*$B$106</f>
        <v>0</v>
      </c>
      <c r="V103" s="759">
        <f>Aprekini!V308*$B$106</f>
        <v>0</v>
      </c>
      <c r="W103" s="759">
        <f>Aprekini!W308*$B$106</f>
        <v>0</v>
      </c>
      <c r="X103" s="759">
        <f>Aprekini!X308*$B$106</f>
        <v>0</v>
      </c>
      <c r="Y103" s="759">
        <f>Aprekini!Y308*$B$106</f>
        <v>0</v>
      </c>
      <c r="Z103" s="759">
        <f>Aprekini!Z308*$B$106</f>
        <v>0</v>
      </c>
      <c r="AA103" s="759">
        <f>Aprekini!AA308*$B$106</f>
        <v>0</v>
      </c>
      <c r="AB103" s="759">
        <f>Aprekini!AB308*$B$106</f>
        <v>0</v>
      </c>
      <c r="AC103" s="759">
        <f>Aprekini!AC308*$B$106</f>
        <v>0</v>
      </c>
      <c r="AD103" s="759">
        <f>Aprekini!AD308*$B$106</f>
        <v>0</v>
      </c>
      <c r="AE103" s="759">
        <f>Aprekini!AE308*$B$106</f>
        <v>0</v>
      </c>
      <c r="AF103" s="759">
        <f>Aprekini!AF308*$B$106</f>
        <v>0</v>
      </c>
      <c r="AG103" s="759">
        <f>Aprekini!AG308*$B$106</f>
        <v>0</v>
      </c>
      <c r="AH103" s="759">
        <f>Aprekini!AH308*$B$106</f>
        <v>0</v>
      </c>
      <c r="AI103" s="759">
        <f>Aprekini!AI308*$B$106</f>
        <v>0</v>
      </c>
    </row>
    <row r="104" spans="1:35" s="276" customFormat="1" outlineLevel="1" x14ac:dyDescent="0.2">
      <c r="A104" s="278" t="s">
        <v>373</v>
      </c>
      <c r="B104" s="759">
        <f>'gadu šķirošana'!C9+'gadu šķirošana'!C8+'gadu šķirošana'!C6*'gadu šķirošana'!C7*365/1000</f>
        <v>345565</v>
      </c>
      <c r="C104" s="759">
        <f>'gadu šķirošana'!D9+'gadu šķirošana'!D8+'gadu šķirošana'!D6*'gadu šķirošana'!D7*365/1000</f>
        <v>345565</v>
      </c>
      <c r="D104" s="759">
        <f>'gadu šķirošana'!E9+'gadu šķirošana'!E8+'gadu šķirošana'!E6*'gadu šķirošana'!E7*365/1000</f>
        <v>345565</v>
      </c>
      <c r="E104" s="759">
        <f>'gadu šķirošana'!F9+'gadu šķirošana'!F8+'gadu šķirošana'!F6*'gadu šķirošana'!F7*365/1000</f>
        <v>348120</v>
      </c>
      <c r="F104" s="759">
        <f>'gadu šķirošana'!G9+'gadu šķirošana'!G8+'gadu šķirošana'!G6*'gadu šķirošana'!G7*365/1000</f>
        <v>348120</v>
      </c>
      <c r="G104" s="759">
        <f>'gadu šķirošana'!H9+'gadu šķirošana'!H8+'gadu šķirošana'!H6*'gadu šķirošana'!H7*365/1000</f>
        <v>348120</v>
      </c>
      <c r="H104" s="759">
        <f>'gadu šķirošana'!I9+'gadu šķirošana'!I8+'gadu šķirošana'!I6*'gadu šķirošana'!I7*365/1000</f>
        <v>348120</v>
      </c>
      <c r="I104" s="759">
        <f>'gadu šķirošana'!J9+'gadu šķirošana'!J8+'gadu šķirošana'!J6*'gadu šķirošana'!J7*365/1000</f>
        <v>348120</v>
      </c>
      <c r="J104" s="759">
        <f>'gadu šķirošana'!K9+'gadu šķirošana'!K8+'gadu šķirošana'!K6*'gadu šķirošana'!K7*365/1000</f>
        <v>348120</v>
      </c>
      <c r="K104" s="759">
        <f>'gadu šķirošana'!L9+'gadu šķirošana'!L8+'gadu šķirošana'!L6*'gadu šķirošana'!L7*365/1000</f>
        <v>348120</v>
      </c>
      <c r="L104" s="759">
        <f>'gadu šķirošana'!M9+'gadu šķirošana'!M8+'gadu šķirošana'!M6*'gadu šķirošana'!M7*365/1000</f>
        <v>348120</v>
      </c>
      <c r="M104" s="759">
        <f>'gadu šķirošana'!N9+'gadu šķirošana'!N8+'gadu šķirošana'!N6*'gadu šķirošana'!N7*365/1000</f>
        <v>348120</v>
      </c>
      <c r="N104" s="759">
        <f>'gadu šķirošana'!O9+'gadu šķirošana'!O8+'gadu šķirošana'!O6*'gadu šķirošana'!O7*365/1000</f>
        <v>348120</v>
      </c>
      <c r="O104" s="759">
        <f>'gadu šķirošana'!P9+'gadu šķirošana'!P8+'gadu šķirošana'!P6*'gadu šķirošana'!P7*365/1000</f>
        <v>348120</v>
      </c>
      <c r="P104" s="759">
        <f>'gadu šķirošana'!Q9+'gadu šķirošana'!Q8+'gadu šķirošana'!Q6*'gadu šķirošana'!Q7*365/1000</f>
        <v>348120</v>
      </c>
      <c r="Q104" s="759">
        <f>'gadu šķirošana'!R9+'gadu šķirošana'!R8+'gadu šķirošana'!R6*'gadu šķirošana'!R7*365/1000</f>
        <v>348120</v>
      </c>
      <c r="R104" s="759">
        <f>'gadu šķirošana'!S9+'gadu šķirošana'!S8+'gadu šķirošana'!S6*'gadu šķirošana'!S7*365/1000</f>
        <v>348120</v>
      </c>
      <c r="S104" s="759">
        <f>'gadu šķirošana'!T9+'gadu šķirošana'!T8+'gadu šķirošana'!T6*'gadu šķirošana'!T7*365/1000</f>
        <v>348120</v>
      </c>
      <c r="T104" s="759">
        <f>'gadu šķirošana'!U9+'gadu šķirošana'!U8+'gadu šķirošana'!U6*'gadu šķirošana'!U7*365/1000</f>
        <v>348120</v>
      </c>
      <c r="U104" s="759">
        <f>'gadu šķirošana'!V9+'gadu šķirošana'!V8+'gadu šķirošana'!V6*'gadu šķirošana'!V7*365/1000</f>
        <v>348120</v>
      </c>
      <c r="V104" s="759">
        <f>'gadu šķirošana'!W9+'gadu šķirošana'!W8+'gadu šķirošana'!W6*'gadu šķirošana'!W7*365/1000</f>
        <v>348120</v>
      </c>
      <c r="W104" s="759">
        <f>'gadu šķirošana'!X9+'gadu šķirošana'!X8+'gadu šķirošana'!X6*'gadu šķirošana'!X7*365/1000</f>
        <v>348120</v>
      </c>
      <c r="X104" s="759">
        <f>'gadu šķirošana'!Y9+'gadu šķirošana'!Y8+'gadu šķirošana'!Y6*'gadu šķirošana'!Y7*365/1000</f>
        <v>348120</v>
      </c>
      <c r="Y104" s="759">
        <f>'gadu šķirošana'!Z9+'gadu šķirošana'!Z8+'gadu šķirošana'!Z6*'gadu šķirošana'!Z7*365/1000</f>
        <v>348120</v>
      </c>
      <c r="Z104" s="759">
        <f>'gadu šķirošana'!AA9+'gadu šķirošana'!AA8+'gadu šķirošana'!AA6*'gadu šķirošana'!AA7*365/1000</f>
        <v>348120</v>
      </c>
      <c r="AA104" s="759">
        <f>'gadu šķirošana'!AB9+'gadu šķirošana'!AB8+'gadu šķirošana'!AB6*'gadu šķirošana'!AB7*365/1000</f>
        <v>348120</v>
      </c>
      <c r="AB104" s="759">
        <f>'gadu šķirošana'!AC9+'gadu šķirošana'!AC8+'gadu šķirošana'!AC6*'gadu šķirošana'!AC7*365/1000</f>
        <v>348120</v>
      </c>
      <c r="AC104" s="759">
        <f>'gadu šķirošana'!AD9+'gadu šķirošana'!AD8+'gadu šķirošana'!AD6*'gadu šķirošana'!AD7*365/1000</f>
        <v>348120</v>
      </c>
      <c r="AD104" s="759">
        <f>'gadu šķirošana'!AE9+'gadu šķirošana'!AE8+'gadu šķirošana'!AE6*'gadu šķirošana'!AE7*365/1000</f>
        <v>348120</v>
      </c>
      <c r="AE104" s="759">
        <f>'gadu šķirošana'!AF9+'gadu šķirošana'!AF8+'gadu šķirošana'!AF6*'gadu šķirošana'!AF7*365/1000</f>
        <v>348120</v>
      </c>
      <c r="AF104" s="759">
        <f>'gadu šķirošana'!AG9+'gadu šķirošana'!AG8+'gadu šķirošana'!AG6*'gadu šķirošana'!AG7*365/1000</f>
        <v>348120</v>
      </c>
      <c r="AG104" s="759">
        <f>'gadu šķirošana'!AH9+'gadu šķirošana'!AH8+'gadu šķirošana'!AH6*'gadu šķirošana'!AH7*365/1000</f>
        <v>348120</v>
      </c>
      <c r="AH104" s="759">
        <f>'gadu šķirošana'!AI9+'gadu šķirošana'!AI8+'gadu šķirošana'!AI6*'gadu šķirošana'!AI7*365/1000</f>
        <v>348120</v>
      </c>
      <c r="AI104" s="759">
        <f>'gadu šķirošana'!AJ9+'gadu šķirošana'!AJ8+'gadu šķirošana'!AJ6*'gadu šķirošana'!AJ7*365/1000</f>
        <v>348120</v>
      </c>
    </row>
    <row r="105" spans="1:35" s="276" customFormat="1" outlineLevel="1" x14ac:dyDescent="0.2">
      <c r="A105" s="278"/>
      <c r="B105" s="279"/>
      <c r="C105" s="279"/>
      <c r="D105" s="279"/>
      <c r="E105" s="279"/>
      <c r="F105" s="279"/>
      <c r="G105" s="279"/>
      <c r="H105" s="279"/>
      <c r="I105" s="280"/>
      <c r="J105" s="280"/>
      <c r="K105" s="280"/>
      <c r="L105" s="280"/>
      <c r="M105" s="280"/>
      <c r="N105" s="279"/>
      <c r="O105" s="279"/>
      <c r="P105" s="279"/>
      <c r="Q105" s="279"/>
      <c r="R105" s="279"/>
      <c r="S105" s="279"/>
      <c r="T105" s="279"/>
      <c r="U105" s="279"/>
      <c r="V105" s="279"/>
      <c r="W105" s="279"/>
      <c r="X105" s="279"/>
      <c r="Y105" s="279"/>
      <c r="Z105" s="279"/>
      <c r="AA105" s="279"/>
      <c r="AB105" s="279"/>
      <c r="AC105" s="279"/>
      <c r="AD105" s="279"/>
      <c r="AE105" s="279"/>
      <c r="AF105" s="279"/>
      <c r="AG105" s="279"/>
      <c r="AH105" s="279"/>
      <c r="AI105" s="279"/>
    </row>
    <row r="106" spans="1:35" s="276" customFormat="1" outlineLevel="1" x14ac:dyDescent="0.2">
      <c r="A106" s="278" t="s">
        <v>376</v>
      </c>
      <c r="B106" s="281">
        <f>Aprekini!B172</f>
        <v>0.32439881972542717</v>
      </c>
      <c r="H106" s="282"/>
      <c r="I106" s="283"/>
      <c r="J106" s="283"/>
      <c r="K106" s="283"/>
      <c r="L106" s="283"/>
      <c r="M106" s="283"/>
    </row>
    <row r="107" spans="1:35" outlineLevel="1" x14ac:dyDescent="0.2">
      <c r="A107" s="278" t="s">
        <v>379</v>
      </c>
      <c r="B107" s="284">
        <f>'Datu ievade'!C138</f>
        <v>7.0000000000000007E-2</v>
      </c>
      <c r="I107" s="1050"/>
      <c r="J107" s="1050"/>
      <c r="K107" s="1050"/>
      <c r="L107" s="1050"/>
      <c r="M107" s="283"/>
    </row>
    <row r="108" spans="1:35" outlineLevel="1" x14ac:dyDescent="0.2">
      <c r="A108" s="278"/>
      <c r="B108" s="284"/>
      <c r="I108" s="1050"/>
      <c r="J108" s="1050"/>
      <c r="K108" s="1050"/>
      <c r="L108" s="1050"/>
      <c r="M108" s="283"/>
    </row>
    <row r="109" spans="1:35" s="283" customFormat="1" outlineLevel="1" x14ac:dyDescent="0.2">
      <c r="A109" s="278" t="s">
        <v>380</v>
      </c>
      <c r="B109" s="896">
        <f>B56</f>
        <v>0.94</v>
      </c>
      <c r="C109" s="896">
        <f>C56</f>
        <v>0.94</v>
      </c>
      <c r="D109" s="895">
        <f>ROUND((1+$B$107)*(D99+D100+D101+D102+IF('Datu ievade'!$B$149='Datu ievade'!$AK$7,D103,0))/D104,3)</f>
        <v>0.82199999999999995</v>
      </c>
      <c r="E109" s="895">
        <f>ROUND((1+$B$107)*(E99+E100+E101+E102+IF('Datu ievade'!$B$149='Datu ievade'!$AK$7,E103,0))/E104,3)</f>
        <v>0.83699999999999997</v>
      </c>
      <c r="F109" s="895">
        <f>ROUND((1+$B$107)*(F99+F100+F101+F102+IF('Datu ievade'!$B$149='Datu ievade'!$AK$7,F103,0))/F104,3)</f>
        <v>0.85199999999999998</v>
      </c>
      <c r="G109" s="895">
        <f>ROUND((1+$B$107)*(G99+G100+G101+G102+IF('Datu ievade'!$B$149='Datu ievade'!$AK$7,G103,0))/G104,3)</f>
        <v>0.86599999999999999</v>
      </c>
      <c r="H109" s="895">
        <f>ROUND((1+$B$107)*(H99+H100+H101+H102+IF('Datu ievade'!$B$149='Datu ievade'!$AK$7,H103,0))/H104,3)</f>
        <v>0.88100000000000001</v>
      </c>
      <c r="I109" s="895">
        <f>ROUND((1+$B$107)*(I99+I100+I101+I102+IF('Datu ievade'!$B$149='Datu ievade'!$AK$7,I103,0))/I104,3)</f>
        <v>0.89500000000000002</v>
      </c>
      <c r="J109" s="895">
        <f>ROUND((1+$B$107)*(J99+J100+J101+J102+IF('Datu ievade'!$B$149='Datu ievade'!$AK$7,J103,0))/J104,3)</f>
        <v>0.91</v>
      </c>
      <c r="K109" s="895">
        <f>ROUND((1+$B$107)*(K99+K100+K101+K102+IF('Datu ievade'!$B$149='Datu ievade'!$AK$7,K103,0))/K104,3)</f>
        <v>0.92400000000000004</v>
      </c>
      <c r="L109" s="895">
        <f>ROUND((1+$B$107)*(L99+L100+L101+L102+IF('Datu ievade'!$B$149='Datu ievade'!$AK$7,L103,0))/L104,3)</f>
        <v>0.94099999999999995</v>
      </c>
      <c r="M109" s="895">
        <f>ROUND((1+$B$107)*(M99+M100+M101+M102+IF('Datu ievade'!$B$149='Datu ievade'!$AK$7,M103,0))/M104,3)</f>
        <v>0.95799999999999996</v>
      </c>
      <c r="N109" s="895">
        <f>ROUND((1+$B$107)*(N99+N100+N101+N102+IF('Datu ievade'!$B$149='Datu ievade'!$AK$7,N103,0))/N104,3)</f>
        <v>0.95599999999999996</v>
      </c>
      <c r="O109" s="895">
        <f>ROUND((1+$B$107)*(O99+O100+O101+O102+IF('Datu ievade'!$B$149='Datu ievade'!$AK$7,O103,0))/O104,3)</f>
        <v>0.97299999999999998</v>
      </c>
      <c r="P109" s="895">
        <f>ROUND((1+$B$107)*(P99+P100+P101+P102+IF('Datu ievade'!$B$149='Datu ievade'!$AK$7,P103,0))/P104,3)</f>
        <v>0.995</v>
      </c>
      <c r="Q109" s="895">
        <f>ROUND((1+$B$107)*(Q99+Q100+Q101+Q102+IF('Datu ievade'!$B$149='Datu ievade'!$AK$7,Q103,0))/Q104,3)</f>
        <v>1.0169999999999999</v>
      </c>
      <c r="R109" s="895">
        <f>ROUND((1+$B$107)*(R99+R100+R101+R102+IF('Datu ievade'!$B$149='Datu ievade'!$AK$7,R103,0))/R104,3)</f>
        <v>1.0389999999999999</v>
      </c>
      <c r="S109" s="895">
        <f>ROUND((1+$B$107)*(S99+S100+S101+S102+IF('Datu ievade'!$B$149='Datu ievade'!$AK$7,S103,0))/S104,3)</f>
        <v>1.0609999999999999</v>
      </c>
      <c r="T109" s="895">
        <f>ROUND((1+$B$107)*(T99+T100+T101+T102+IF('Datu ievade'!$B$149='Datu ievade'!$AK$7,T103,0))/T104,3)</f>
        <v>1.083</v>
      </c>
      <c r="U109" s="895">
        <f>ROUND((1+$B$107)*(U99+U100+U101+U102+IF('Datu ievade'!$B$149='Datu ievade'!$AK$7,U103,0))/U104,3)</f>
        <v>1.105</v>
      </c>
      <c r="V109" s="895">
        <f>ROUND((1+$B$107)*(V99+V100+V101+V102+IF('Datu ievade'!$B$149='Datu ievade'!$AK$7,V103,0))/V104,3)</f>
        <v>1.1279999999999999</v>
      </c>
      <c r="W109" s="895">
        <f>ROUND((1+$B$107)*(W99+W100+W101+W102+IF('Datu ievade'!$B$149='Datu ievade'!$AK$7,W103,0))/W104,3)</f>
        <v>1.1499999999999999</v>
      </c>
      <c r="X109" s="895">
        <f>ROUND((1+$B$107)*(X99+X100+X101+X102+IF('Datu ievade'!$B$149='Datu ievade'!$AK$7,X103,0))/X104,3)</f>
        <v>1.1719999999999999</v>
      </c>
      <c r="Y109" s="895">
        <f>ROUND((1+$B$107)*(Y99+Y100+Y101+Y102+IF('Datu ievade'!$B$149='Datu ievade'!$AK$7,Y103,0))/Y104,3)</f>
        <v>1.194</v>
      </c>
      <c r="Z109" s="895">
        <f>ROUND((1+$B$107)*(Z99+Z100+Z101+Z102+IF('Datu ievade'!$B$149='Datu ievade'!$AK$7,Z103,0))/Z104,3)</f>
        <v>1.216</v>
      </c>
      <c r="AA109" s="895">
        <f>ROUND((1+$B$107)*(AA99+AA100+AA101+AA102+IF('Datu ievade'!$B$149='Datu ievade'!$AK$7,AA103,0))/AA104,3)</f>
        <v>1.238</v>
      </c>
      <c r="AB109" s="895">
        <f>ROUND((1+$B$107)*(AB99+AB100+AB101+AB102+IF('Datu ievade'!$B$149='Datu ievade'!$AK$7,AB103,0))/AB104,3)</f>
        <v>1.262</v>
      </c>
      <c r="AC109" s="895">
        <f>ROUND((1+$B$107)*(AC99+AC100+AC101+AC102+IF('Datu ievade'!$B$149='Datu ievade'!$AK$7,AC103,0))/AC104,3)</f>
        <v>1.2869999999999999</v>
      </c>
      <c r="AD109" s="895">
        <f>ROUND((1+$B$107)*(AD99+AD100+AD101+AD102+IF('Datu ievade'!$B$149='Datu ievade'!$AK$7,AD103,0))/AD104,3)</f>
        <v>1.3109999999999999</v>
      </c>
      <c r="AE109" s="895">
        <f>ROUND((1+$B$107)*(AE99+AE100+AE101+AE102+IF('Datu ievade'!$B$149='Datu ievade'!$AK$7,AE103,0))/AE104,3)</f>
        <v>1.335</v>
      </c>
      <c r="AF109" s="895">
        <f>ROUND((1+$B$107)*(AF99+AF100+AF101+AF102+IF('Datu ievade'!$B$149='Datu ievade'!$AK$7,AF103,0))/AF104,3)</f>
        <v>1.365</v>
      </c>
      <c r="AG109" s="895">
        <f>ROUND((1+$B$107)*(AG99+AG100+AG101+AG102+IF('Datu ievade'!$B$149='Datu ievade'!$AK$7,AG103,0))/AG104,3)</f>
        <v>1.3939999999999999</v>
      </c>
      <c r="AH109" s="895">
        <f>ROUND((1+$B$107)*(AH99+AH100+AH101+AH102+IF('Datu ievade'!$B$149='Datu ievade'!$AK$7,AH103,0))/AH104,3)</f>
        <v>1.4239999999999999</v>
      </c>
      <c r="AI109" s="895">
        <f>ROUND((1+$B$107)*(AI99+AI100+AI101+AI102+IF('Datu ievade'!$B$149='Datu ievade'!$AK$7,AI103,0))/AI104,3)</f>
        <v>1.4530000000000001</v>
      </c>
    </row>
    <row r="110" spans="1:35" outlineLevel="1" x14ac:dyDescent="0.2">
      <c r="A110" s="278" t="s">
        <v>383</v>
      </c>
      <c r="B110" s="896">
        <f>'Iedzivotaju maksatspeja'!B27/1.21</f>
        <v>0.94</v>
      </c>
      <c r="C110" s="896">
        <f>'Iedzivotaju maksatspeja'!C27/1.21</f>
        <v>0.94</v>
      </c>
      <c r="D110" s="895">
        <f>'Iedzivotaju maksatspeja'!D27/1.21</f>
        <v>0.82199999999999995</v>
      </c>
      <c r="E110" s="895">
        <f>'Iedzivotaju maksatspeja'!E27/1.21</f>
        <v>0.83699999999999997</v>
      </c>
      <c r="F110" s="895">
        <f>'Iedzivotaju maksatspeja'!F27/1.21</f>
        <v>0.85199999999999987</v>
      </c>
      <c r="G110" s="895">
        <f>'Iedzivotaju maksatspeja'!G27/1.21</f>
        <v>0.86599999999999999</v>
      </c>
      <c r="H110" s="895">
        <f>'Iedzivotaju maksatspeja'!H27/1.21</f>
        <v>0.88099999999999989</v>
      </c>
      <c r="I110" s="895">
        <f>'Iedzivotaju maksatspeja'!I27/1.21</f>
        <v>0.89500000000000013</v>
      </c>
      <c r="J110" s="895">
        <f>'Iedzivotaju maksatspeja'!J27/1.21</f>
        <v>0.91</v>
      </c>
      <c r="K110" s="895">
        <f>'Iedzivotaju maksatspeja'!K27/1.21</f>
        <v>0.92399999999999993</v>
      </c>
      <c r="L110" s="895">
        <f>'Iedzivotaju maksatspeja'!L27/1.21</f>
        <v>0.94099999999999995</v>
      </c>
      <c r="M110" s="895">
        <f>'Iedzivotaju maksatspeja'!M27/1.21</f>
        <v>0.95799999999999996</v>
      </c>
      <c r="N110" s="895">
        <f>'Iedzivotaju maksatspeja'!N27/1.21</f>
        <v>0.95600000000000007</v>
      </c>
      <c r="O110" s="895">
        <f>'Iedzivotaju maksatspeja'!O27/1.21</f>
        <v>0.97299999999999998</v>
      </c>
      <c r="P110" s="895">
        <f>'Iedzivotaju maksatspeja'!P27/1.21</f>
        <v>0.99499999999999988</v>
      </c>
      <c r="Q110" s="895">
        <f>'Iedzivotaju maksatspeja'!Q27/1.21</f>
        <v>1.0169999999999999</v>
      </c>
      <c r="R110" s="895">
        <f>'Iedzivotaju maksatspeja'!R27/1.21</f>
        <v>1.0389999999999999</v>
      </c>
      <c r="S110" s="895">
        <f>'Iedzivotaju maksatspeja'!S27/1.21</f>
        <v>1.0609999999999999</v>
      </c>
      <c r="T110" s="895">
        <f>'Iedzivotaju maksatspeja'!T27/1.21</f>
        <v>1.083</v>
      </c>
      <c r="U110" s="895">
        <f>'Iedzivotaju maksatspeja'!U27/1.21</f>
        <v>1.105</v>
      </c>
      <c r="V110" s="895">
        <f>'Iedzivotaju maksatspeja'!V27/1.21</f>
        <v>1.1279999999999999</v>
      </c>
      <c r="W110" s="895">
        <f>'Iedzivotaju maksatspeja'!W27/1.21</f>
        <v>1.1499999999999999</v>
      </c>
      <c r="X110" s="895">
        <f>'Iedzivotaju maksatspeja'!X27/1.21</f>
        <v>1.1719999999999999</v>
      </c>
      <c r="Y110" s="895">
        <f>'Iedzivotaju maksatspeja'!Y27/1.21</f>
        <v>1.194</v>
      </c>
      <c r="Z110" s="895">
        <f>'Iedzivotaju maksatspeja'!Z27/1.21</f>
        <v>1.216</v>
      </c>
      <c r="AA110" s="895">
        <f>'Iedzivotaju maksatspeja'!AA27/1.21</f>
        <v>1.238</v>
      </c>
      <c r="AB110" s="895">
        <f>'Iedzivotaju maksatspeja'!AB27/1.21</f>
        <v>1.262</v>
      </c>
      <c r="AC110" s="895">
        <f>'Iedzivotaju maksatspeja'!AC27/1.21</f>
        <v>1.2869999999999999</v>
      </c>
      <c r="AD110" s="895">
        <f>'Iedzivotaju maksatspeja'!AD27/1.21</f>
        <v>1.3109999999999999</v>
      </c>
      <c r="AE110" s="895">
        <f>'Iedzivotaju maksatspeja'!AE27/1.21</f>
        <v>1.335</v>
      </c>
      <c r="AF110" s="895">
        <f>'Iedzivotaju maksatspeja'!AF27/1.21</f>
        <v>1.365</v>
      </c>
      <c r="AG110" s="895">
        <f>'Iedzivotaju maksatspeja'!AG27/1.21</f>
        <v>1.3939999999999999</v>
      </c>
      <c r="AH110" s="895">
        <f>'Iedzivotaju maksatspeja'!AH27/1.21</f>
        <v>1.4239999999999999</v>
      </c>
      <c r="AI110" s="895">
        <f>'Iedzivotaju maksatspeja'!AI27/1.21</f>
        <v>1.4530000000000001</v>
      </c>
    </row>
    <row r="111" spans="1:35" s="276" customFormat="1" outlineLevel="1" x14ac:dyDescent="0.2">
      <c r="A111" s="278"/>
    </row>
    <row r="112" spans="1:35" s="276" customFormat="1" outlineLevel="1" x14ac:dyDescent="0.2">
      <c r="A112" s="278" t="s">
        <v>374</v>
      </c>
      <c r="B112" s="759">
        <f t="shared" ref="B112:AI112" si="110">SUM(B71:B75,B82:B84)</f>
        <v>245467.22999999998</v>
      </c>
      <c r="C112" s="759">
        <f t="shared" si="110"/>
        <v>252831.24370000002</v>
      </c>
      <c r="D112" s="759">
        <f t="shared" si="110"/>
        <v>263721.24</v>
      </c>
      <c r="E112" s="759">
        <f t="shared" si="110"/>
        <v>269474.86</v>
      </c>
      <c r="F112" s="759">
        <f t="shared" si="110"/>
        <v>274483.94</v>
      </c>
      <c r="G112" s="759">
        <f t="shared" si="110"/>
        <v>279493.02</v>
      </c>
      <c r="H112" s="759">
        <f t="shared" si="110"/>
        <v>284502.09999999998</v>
      </c>
      <c r="I112" s="759">
        <f t="shared" si="110"/>
        <v>289511.18</v>
      </c>
      <c r="J112" s="759">
        <f t="shared" si="110"/>
        <v>294520.26</v>
      </c>
      <c r="K112" s="759">
        <f t="shared" si="110"/>
        <v>299529.34000000003</v>
      </c>
      <c r="L112" s="759">
        <f t="shared" si="110"/>
        <v>305282.96000000002</v>
      </c>
      <c r="M112" s="759">
        <f t="shared" si="110"/>
        <v>311036.58</v>
      </c>
      <c r="N112" s="759">
        <f t="shared" si="110"/>
        <v>316790.2</v>
      </c>
      <c r="O112" s="759">
        <f t="shared" si="110"/>
        <v>324303.82</v>
      </c>
      <c r="P112" s="759">
        <f t="shared" si="110"/>
        <v>331817.44</v>
      </c>
      <c r="Q112" s="759">
        <f t="shared" si="110"/>
        <v>339331.06</v>
      </c>
      <c r="R112" s="759">
        <f t="shared" si="110"/>
        <v>346844.68</v>
      </c>
      <c r="S112" s="759">
        <f t="shared" si="110"/>
        <v>354358.3</v>
      </c>
      <c r="T112" s="759">
        <f t="shared" si="110"/>
        <v>361871.92</v>
      </c>
      <c r="U112" s="759">
        <f t="shared" si="110"/>
        <v>369385.54</v>
      </c>
      <c r="V112" s="759">
        <f t="shared" si="110"/>
        <v>376899.16</v>
      </c>
      <c r="W112" s="759">
        <f t="shared" si="110"/>
        <v>384412.78</v>
      </c>
      <c r="X112" s="759">
        <f t="shared" si="110"/>
        <v>391926.4</v>
      </c>
      <c r="Y112" s="759">
        <f t="shared" si="110"/>
        <v>399440.02</v>
      </c>
      <c r="Z112" s="759">
        <f t="shared" si="110"/>
        <v>406953.64</v>
      </c>
      <c r="AA112" s="759">
        <f t="shared" si="110"/>
        <v>414467.26</v>
      </c>
      <c r="AB112" s="759">
        <f t="shared" si="110"/>
        <v>422725.42</v>
      </c>
      <c r="AC112" s="759">
        <f t="shared" si="110"/>
        <v>430983.58</v>
      </c>
      <c r="AD112" s="759">
        <f t="shared" si="110"/>
        <v>439241.74</v>
      </c>
      <c r="AE112" s="759">
        <f t="shared" si="110"/>
        <v>447499.9</v>
      </c>
      <c r="AF112" s="759">
        <f t="shared" si="110"/>
        <v>457518.06</v>
      </c>
      <c r="AG112" s="759">
        <f t="shared" si="110"/>
        <v>467536.22</v>
      </c>
      <c r="AH112" s="759">
        <f t="shared" si="110"/>
        <v>477554.38</v>
      </c>
      <c r="AI112" s="759">
        <f t="shared" si="110"/>
        <v>487572.54</v>
      </c>
    </row>
    <row r="113" spans="1:251" s="276" customFormat="1" outlineLevel="1" x14ac:dyDescent="0.2">
      <c r="A113" s="278" t="s">
        <v>369</v>
      </c>
      <c r="B113" s="759">
        <f>SUM(Aprekini!B24:B27,Aprekini!B58,Aprekini!B64,Aprekini!B70)</f>
        <v>13071</v>
      </c>
      <c r="C113" s="759">
        <f>SUM(Aprekini!C24:C27,Aprekini!C58,Aprekini!C64,Aprekini!C70)</f>
        <v>13071</v>
      </c>
      <c r="D113" s="759">
        <f>SUM(Aprekini!D24:D27,Aprekini!D58,Aprekini!D64,Aprekini!D70)</f>
        <v>13071</v>
      </c>
      <c r="E113" s="759">
        <f>SUM(Aprekini!E24:E27,Aprekini!E58,Aprekini!E64,Aprekini!E70)</f>
        <v>13071</v>
      </c>
      <c r="F113" s="759">
        <f>SUM(Aprekini!F24:F27,Aprekini!F58,Aprekini!F64,Aprekini!F70)</f>
        <v>13071</v>
      </c>
      <c r="G113" s="759">
        <f>SUM(Aprekini!G24:G27,Aprekini!G58,Aprekini!G64,Aprekini!G70)</f>
        <v>13071</v>
      </c>
      <c r="H113" s="759">
        <f>SUM(Aprekini!H24:H27,Aprekini!H58,Aprekini!H64,Aprekini!H70)</f>
        <v>13071</v>
      </c>
      <c r="I113" s="759">
        <f>SUM(Aprekini!I24:I27,Aprekini!I58,Aprekini!I64,Aprekini!I70)</f>
        <v>13071</v>
      </c>
      <c r="J113" s="759">
        <f>SUM(Aprekini!J24:J27,Aprekini!J58,Aprekini!J64,Aprekini!J70)</f>
        <v>13071</v>
      </c>
      <c r="K113" s="759">
        <f>SUM(Aprekini!K24:K27,Aprekini!K58,Aprekini!K64,Aprekini!K70)</f>
        <v>13071</v>
      </c>
      <c r="L113" s="759">
        <f>SUM(Aprekini!L24:L27,Aprekini!L58,Aprekini!L64,Aprekini!L70)</f>
        <v>13071</v>
      </c>
      <c r="M113" s="759">
        <f>SUM(Aprekini!M24:M27,Aprekini!M58,Aprekini!M64,Aprekini!M70)</f>
        <v>13071</v>
      </c>
      <c r="N113" s="759">
        <f>SUM(Aprekini!N24:N27,Aprekini!N58,Aprekini!N64,Aprekini!N70)</f>
        <v>13071</v>
      </c>
      <c r="O113" s="759">
        <f>SUM(Aprekini!O24:O27,Aprekini!O58,Aprekini!O64,Aprekini!O70)</f>
        <v>13071</v>
      </c>
      <c r="P113" s="759">
        <f>SUM(Aprekini!P24:P27,Aprekini!P58,Aprekini!P64,Aprekini!P70)</f>
        <v>13071</v>
      </c>
      <c r="Q113" s="759">
        <f>SUM(Aprekini!Q24:Q27,Aprekini!Q58,Aprekini!Q64,Aprekini!Q70)</f>
        <v>13071</v>
      </c>
      <c r="R113" s="759">
        <f>SUM(Aprekini!R24:R27,Aprekini!R58,Aprekini!R64,Aprekini!R70)</f>
        <v>13071</v>
      </c>
      <c r="S113" s="759">
        <f>SUM(Aprekini!S24:S27,Aprekini!S58,Aprekini!S64,Aprekini!S70)</f>
        <v>13071</v>
      </c>
      <c r="T113" s="759">
        <f>SUM(Aprekini!T24:T27,Aprekini!T58,Aprekini!T64,Aprekini!T70)</f>
        <v>13071</v>
      </c>
      <c r="U113" s="759">
        <f>SUM(Aprekini!U24:U27,Aprekini!U58,Aprekini!U64,Aprekini!U70)</f>
        <v>13071</v>
      </c>
      <c r="V113" s="759">
        <f>SUM(Aprekini!V24:V27,Aprekini!V58,Aprekini!V64,Aprekini!V70)</f>
        <v>13071</v>
      </c>
      <c r="W113" s="759">
        <f>SUM(Aprekini!W24:W27,Aprekini!W58,Aprekini!W64,Aprekini!W70)</f>
        <v>13071</v>
      </c>
      <c r="X113" s="759">
        <f>SUM(Aprekini!X24:X27,Aprekini!X58,Aprekini!X64,Aprekini!X70)</f>
        <v>13071</v>
      </c>
      <c r="Y113" s="759">
        <f>SUM(Aprekini!Y24:Y27,Aprekini!Y58,Aprekini!Y64,Aprekini!Y70)</f>
        <v>13071</v>
      </c>
      <c r="Z113" s="759">
        <f>SUM(Aprekini!Z24:Z27,Aprekini!Z58,Aprekini!Z64,Aprekini!Z70)</f>
        <v>13071</v>
      </c>
      <c r="AA113" s="759">
        <f>SUM(Aprekini!AA24:AA27,Aprekini!AA58,Aprekini!AA64,Aprekini!AA70)</f>
        <v>13071</v>
      </c>
      <c r="AB113" s="759">
        <f>SUM(Aprekini!AB24:AB27,Aprekini!AB58,Aprekini!AB64,Aprekini!AB70)</f>
        <v>13071</v>
      </c>
      <c r="AC113" s="759">
        <f>SUM(Aprekini!AC24:AC27,Aprekini!AC58,Aprekini!AC64,Aprekini!AC70)</f>
        <v>13071</v>
      </c>
      <c r="AD113" s="759">
        <f>SUM(Aprekini!AD24:AD27,Aprekini!AD58,Aprekini!AD64,Aprekini!AD70)</f>
        <v>13071</v>
      </c>
      <c r="AE113" s="759">
        <f>SUM(Aprekini!AE24:AE27,Aprekini!AE58,Aprekini!AE64,Aprekini!AE70)</f>
        <v>13071</v>
      </c>
      <c r="AF113" s="759">
        <f>SUM(Aprekini!AF24:AF27,Aprekini!AF58,Aprekini!AF64,Aprekini!AF70)</f>
        <v>13071</v>
      </c>
      <c r="AG113" s="759">
        <f>SUM(Aprekini!AG24:AG27,Aprekini!AG58,Aprekini!AG64,Aprekini!AG70)</f>
        <v>13071</v>
      </c>
      <c r="AH113" s="759">
        <f>SUM(Aprekini!AH24:AH27,Aprekini!AH58,Aprekini!AH64,Aprekini!AH70)</f>
        <v>13071</v>
      </c>
      <c r="AI113" s="759">
        <f>SUM(Aprekini!AI24:AI27,Aprekini!AI58,Aprekini!AI64,Aprekini!AI70)</f>
        <v>13071</v>
      </c>
    </row>
    <row r="114" spans="1:251" s="276" customFormat="1" outlineLevel="1" x14ac:dyDescent="0.2">
      <c r="A114" s="278" t="s">
        <v>370</v>
      </c>
      <c r="B114" s="759">
        <f>SUM(Aprekini!B101,Aprekini!B107,Aprekini!B113,Aprekini!B58,Aprekini!B64,Aprekini!B70)*'Datu ievade'!B145</f>
        <v>0</v>
      </c>
      <c r="C114" s="759">
        <f>SUM(Aprekini!C101,Aprekini!C107,Aprekini!C113,Aprekini!C58,Aprekini!C64,Aprekini!C70)*'Datu ievade'!C145</f>
        <v>0</v>
      </c>
      <c r="D114" s="759">
        <f>SUM(Aprekini!D101,Aprekini!D107,Aprekini!D113,Aprekini!D58,Aprekini!D64,Aprekini!D70)*'Datu ievade'!D145</f>
        <v>2960.5499999999997</v>
      </c>
      <c r="E114" s="759">
        <f>SUM(Aprekini!E101,Aprekini!E107,Aprekini!E113,Aprekini!E58,Aprekini!E64,Aprekini!E70)*'Datu ievade'!E145</f>
        <v>3515.5499999999997</v>
      </c>
      <c r="F114" s="759">
        <f>SUM(Aprekini!F101,Aprekini!F107,Aprekini!F113,Aprekini!F58,Aprekini!F64,Aprekini!F70)*'Datu ievade'!F145</f>
        <v>3515.5499999999997</v>
      </c>
      <c r="G114" s="759">
        <f>SUM(Aprekini!G101,Aprekini!G107,Aprekini!G113,Aprekini!G58,Aprekini!G64,Aprekini!G70)*'Datu ievade'!G145</f>
        <v>3515.5499999999997</v>
      </c>
      <c r="H114" s="759">
        <f>SUM(Aprekini!H101,Aprekini!H107,Aprekini!H113,Aprekini!H58,Aprekini!H64,Aprekini!H70)*'Datu ievade'!H145</f>
        <v>3515.5499999999997</v>
      </c>
      <c r="I114" s="759">
        <f>SUM(Aprekini!I101,Aprekini!I107,Aprekini!I113,Aprekini!I58,Aprekini!I64,Aprekini!I70)*'Datu ievade'!I145</f>
        <v>3515.5499999999997</v>
      </c>
      <c r="J114" s="759">
        <f>SUM(Aprekini!J101,Aprekini!J107,Aprekini!J113,Aprekini!J58,Aprekini!J64,Aprekini!J70)*'Datu ievade'!J145</f>
        <v>3515.5499999999997</v>
      </c>
      <c r="K114" s="759">
        <f>SUM(Aprekini!K101,Aprekini!K107,Aprekini!K113,Aprekini!K58,Aprekini!K64,Aprekini!K70)*'Datu ievade'!K145</f>
        <v>3515.5499999999997</v>
      </c>
      <c r="L114" s="759">
        <f>SUM(Aprekini!L101,Aprekini!L107,Aprekini!L113,Aprekini!L58,Aprekini!L64,Aprekini!L70)*'Datu ievade'!L145</f>
        <v>3515.5499999999997</v>
      </c>
      <c r="M114" s="759">
        <f>SUM(Aprekini!M101,Aprekini!M107,Aprekini!M113,Aprekini!M58,Aprekini!M64,Aprekini!M70)*'Datu ievade'!M145</f>
        <v>3515.5499999999997</v>
      </c>
      <c r="N114" s="759">
        <f>SUM(Aprekini!N101,Aprekini!N107,Aprekini!N113,Aprekini!N58,Aprekini!N64,Aprekini!N70)*'Datu ievade'!N145</f>
        <v>555</v>
      </c>
      <c r="O114" s="759">
        <f>SUM(Aprekini!O101,Aprekini!O107,Aprekini!O113,Aprekini!O58,Aprekini!O64,Aprekini!O70)*'Datu ievade'!O145</f>
        <v>555</v>
      </c>
      <c r="P114" s="759">
        <f>SUM(Aprekini!P101,Aprekini!P107,Aprekini!P113,Aprekini!P58,Aprekini!P64,Aprekini!P70)*'Datu ievade'!P145</f>
        <v>555</v>
      </c>
      <c r="Q114" s="759">
        <f>SUM(Aprekini!Q101,Aprekini!Q107,Aprekini!Q113,Aprekini!Q58,Aprekini!Q64,Aprekini!Q70)*'Datu ievade'!Q145</f>
        <v>555</v>
      </c>
      <c r="R114" s="759">
        <f>SUM(Aprekini!R101,Aprekini!R107,Aprekini!R113,Aprekini!R58,Aprekini!R64,Aprekini!R70)*'Datu ievade'!R145</f>
        <v>555</v>
      </c>
      <c r="S114" s="759">
        <f>SUM(Aprekini!S101,Aprekini!S107,Aprekini!S113,Aprekini!S58,Aprekini!S64,Aprekini!S70)*'Datu ievade'!S145</f>
        <v>555</v>
      </c>
      <c r="T114" s="759">
        <f>SUM(Aprekini!T101,Aprekini!T107,Aprekini!T113,Aprekini!T58,Aprekini!T64,Aprekini!T70)*'Datu ievade'!T145</f>
        <v>555</v>
      </c>
      <c r="U114" s="759">
        <f>SUM(Aprekini!U101,Aprekini!U107,Aprekini!U113,Aprekini!U58,Aprekini!U64,Aprekini!U70)*'Datu ievade'!U145</f>
        <v>555</v>
      </c>
      <c r="V114" s="759">
        <f>SUM(Aprekini!V101,Aprekini!V107,Aprekini!V113,Aprekini!V58,Aprekini!V64,Aprekini!V70)*'Datu ievade'!V145</f>
        <v>555</v>
      </c>
      <c r="W114" s="759">
        <f>SUM(Aprekini!W101,Aprekini!W107,Aprekini!W113,Aprekini!W58,Aprekini!W64,Aprekini!W70)*'Datu ievade'!W145</f>
        <v>555</v>
      </c>
      <c r="X114" s="759">
        <f>SUM(Aprekini!X101,Aprekini!X107,Aprekini!X113,Aprekini!X58,Aprekini!X64,Aprekini!X70)*'Datu ievade'!X145</f>
        <v>555</v>
      </c>
      <c r="Y114" s="759">
        <f>SUM(Aprekini!Y101,Aprekini!Y107,Aprekini!Y113,Aprekini!Y58,Aprekini!Y64,Aprekini!Y70)*'Datu ievade'!Y145</f>
        <v>555</v>
      </c>
      <c r="Z114" s="759">
        <f>SUM(Aprekini!Z101,Aprekini!Z107,Aprekini!Z113,Aprekini!Z58,Aprekini!Z64,Aprekini!Z70)*'Datu ievade'!Z145</f>
        <v>555</v>
      </c>
      <c r="AA114" s="759">
        <f>SUM(Aprekini!AA101,Aprekini!AA107,Aprekini!AA113,Aprekini!AA58,Aprekini!AA64,Aprekini!AA70)*'Datu ievade'!AA145</f>
        <v>555</v>
      </c>
      <c r="AB114" s="759">
        <f>SUM(Aprekini!AB101,Aprekini!AB107,Aprekini!AB113,Aprekini!AB58,Aprekini!AB64,Aprekini!AB70)*'Datu ievade'!AB145</f>
        <v>555</v>
      </c>
      <c r="AC114" s="759">
        <f>SUM(Aprekini!AC101,Aprekini!AC107,Aprekini!AC113,Aprekini!AC58,Aprekini!AC64,Aprekini!AC70)*'Datu ievade'!AC145</f>
        <v>555</v>
      </c>
      <c r="AD114" s="759">
        <f>SUM(Aprekini!AD101,Aprekini!AD107,Aprekini!AD113,Aprekini!AD58,Aprekini!AD64,Aprekini!AD70)*'Datu ievade'!AD145</f>
        <v>555</v>
      </c>
      <c r="AE114" s="759">
        <f>SUM(Aprekini!AE101,Aprekini!AE107,Aprekini!AE113,Aprekini!AE58,Aprekini!AE64,Aprekini!AE70)*'Datu ievade'!AE145</f>
        <v>555</v>
      </c>
      <c r="AF114" s="759">
        <f>SUM(Aprekini!AF101,Aprekini!AF107,Aprekini!AF113,Aprekini!AF58,Aprekini!AF64,Aprekini!AF70)*'Datu ievade'!AF145</f>
        <v>555</v>
      </c>
      <c r="AG114" s="759">
        <f>SUM(Aprekini!AG101,Aprekini!AG107,Aprekini!AG113,Aprekini!AG58,Aprekini!AG64,Aprekini!AG70)*'Datu ievade'!AG145</f>
        <v>555</v>
      </c>
      <c r="AH114" s="759">
        <f>SUM(Aprekini!AH101,Aprekini!AH107,Aprekini!AH113,Aprekini!AH58,Aprekini!AH64,Aprekini!AH70)*'Datu ievade'!AH145</f>
        <v>555</v>
      </c>
      <c r="AI114" s="759">
        <f>SUM(Aprekini!AI101,Aprekini!AI107,Aprekini!AI113,Aprekini!AI58,Aprekini!AI64,Aprekini!AI70)*'Datu ievade'!AI145</f>
        <v>555</v>
      </c>
    </row>
    <row r="115" spans="1:251" s="276" customFormat="1" outlineLevel="1" x14ac:dyDescent="0.2">
      <c r="A115" s="278" t="s">
        <v>371</v>
      </c>
      <c r="B115" s="759">
        <f>Aprekini!B307*$B$118</f>
        <v>0</v>
      </c>
      <c r="C115" s="759">
        <f>Aprekini!C307*$B$118</f>
        <v>0</v>
      </c>
      <c r="D115" s="759">
        <f>Aprekini!D307*$B$118</f>
        <v>1351.2023605491456</v>
      </c>
      <c r="E115" s="759">
        <f>Aprekini!E307*$B$118</f>
        <v>1351.2023605491456</v>
      </c>
      <c r="F115" s="759">
        <f>Aprekini!F307*$B$118</f>
        <v>1216.082124494231</v>
      </c>
      <c r="G115" s="759">
        <f>Aprekini!G307*$B$118</f>
        <v>1080.9618884393165</v>
      </c>
      <c r="H115" s="759">
        <f>Aprekini!H307*$B$118</f>
        <v>945.84165238440198</v>
      </c>
      <c r="I115" s="759">
        <f>Aprekini!I307*$B$118</f>
        <v>810.7214163294874</v>
      </c>
      <c r="J115" s="759">
        <f>Aprekini!J307*$B$118</f>
        <v>675.60118027457281</v>
      </c>
      <c r="K115" s="759">
        <f>Aprekini!K307*$B$118</f>
        <v>540.48094421965823</v>
      </c>
      <c r="L115" s="759">
        <f>Aprekini!L307*$B$118</f>
        <v>405.3607081647437</v>
      </c>
      <c r="M115" s="759">
        <f>Aprekini!M307*$B$118</f>
        <v>270.24047210982911</v>
      </c>
      <c r="N115" s="759">
        <f>Aprekini!N307*$B$118</f>
        <v>135.12023605491456</v>
      </c>
      <c r="O115" s="759">
        <f>Aprekini!O307*$B$118</f>
        <v>0</v>
      </c>
      <c r="P115" s="759">
        <f>Aprekini!P307*$B$118</f>
        <v>0</v>
      </c>
      <c r="Q115" s="759">
        <f>Aprekini!Q307*$B$118</f>
        <v>0</v>
      </c>
      <c r="R115" s="759">
        <f>Aprekini!R307*$B$118</f>
        <v>0</v>
      </c>
      <c r="S115" s="759">
        <f>Aprekini!S307*$B$118</f>
        <v>0</v>
      </c>
      <c r="T115" s="759">
        <f>Aprekini!T307*$B$118</f>
        <v>0</v>
      </c>
      <c r="U115" s="759">
        <f>Aprekini!U307*$B$118</f>
        <v>0</v>
      </c>
      <c r="V115" s="759">
        <f>Aprekini!V307*$B$118</f>
        <v>0</v>
      </c>
      <c r="W115" s="759">
        <f>Aprekini!W307*$B$118</f>
        <v>0</v>
      </c>
      <c r="X115" s="759">
        <f>Aprekini!X307*$B$118</f>
        <v>0</v>
      </c>
      <c r="Y115" s="759">
        <f>Aprekini!Y307*$B$118</f>
        <v>0</v>
      </c>
      <c r="Z115" s="759">
        <f>Aprekini!Z307*$B$118</f>
        <v>0</v>
      </c>
      <c r="AA115" s="759">
        <f>Aprekini!AA307*$B$118</f>
        <v>0</v>
      </c>
      <c r="AB115" s="759">
        <f>Aprekini!AB307*$B$118</f>
        <v>0</v>
      </c>
      <c r="AC115" s="759">
        <f>Aprekini!AC307*$B$118</f>
        <v>0</v>
      </c>
      <c r="AD115" s="759">
        <f>Aprekini!AD307*$B$118</f>
        <v>0</v>
      </c>
      <c r="AE115" s="759">
        <f>Aprekini!AE307*$B$118</f>
        <v>0</v>
      </c>
      <c r="AF115" s="759">
        <f>Aprekini!AF307*$B$118</f>
        <v>0</v>
      </c>
      <c r="AG115" s="759">
        <f>Aprekini!AG307*$B$118</f>
        <v>0</v>
      </c>
      <c r="AH115" s="759">
        <f>Aprekini!AH307*$B$118</f>
        <v>0</v>
      </c>
      <c r="AI115" s="759">
        <f>Aprekini!AI307*$B$118</f>
        <v>0</v>
      </c>
    </row>
    <row r="116" spans="1:251" s="276" customFormat="1" outlineLevel="1" x14ac:dyDescent="0.2">
      <c r="A116" s="278" t="s">
        <v>372</v>
      </c>
      <c r="B116" s="759">
        <f>Aprekini!B308*$B$118</f>
        <v>0</v>
      </c>
      <c r="C116" s="759">
        <f>Aprekini!C308*$B$118</f>
        <v>0</v>
      </c>
      <c r="D116" s="759">
        <f>Aprekini!D308*$B$118</f>
        <v>0</v>
      </c>
      <c r="E116" s="759">
        <f>Aprekini!E308*$B$118</f>
        <v>3378.0059013728642</v>
      </c>
      <c r="F116" s="759">
        <f>Aprekini!F308*$B$118</f>
        <v>3378.0059013728642</v>
      </c>
      <c r="G116" s="759">
        <f>Aprekini!G308*$B$118</f>
        <v>3378.0059013728642</v>
      </c>
      <c r="H116" s="759">
        <f>Aprekini!H308*$B$118</f>
        <v>3378.0059013728642</v>
      </c>
      <c r="I116" s="759">
        <f>Aprekini!I308*$B$118</f>
        <v>3378.0059013728642</v>
      </c>
      <c r="J116" s="759">
        <f>Aprekini!J308*$B$118</f>
        <v>3378.0059013728642</v>
      </c>
      <c r="K116" s="759">
        <f>Aprekini!K308*$B$118</f>
        <v>3378.0059013728642</v>
      </c>
      <c r="L116" s="759">
        <f>Aprekini!L308*$B$118</f>
        <v>3378.0059013728642</v>
      </c>
      <c r="M116" s="759">
        <f>Aprekini!M308*$B$118</f>
        <v>3378.0059013728642</v>
      </c>
      <c r="N116" s="759">
        <f>Aprekini!N308*$B$118</f>
        <v>3378.0059013728642</v>
      </c>
      <c r="O116" s="759">
        <f>Aprekini!O308*$B$118</f>
        <v>0</v>
      </c>
      <c r="P116" s="759">
        <f>Aprekini!P308*$B$118</f>
        <v>0</v>
      </c>
      <c r="Q116" s="759">
        <f>Aprekini!Q308*$B$118</f>
        <v>0</v>
      </c>
      <c r="R116" s="759">
        <f>Aprekini!R308*$B$118</f>
        <v>0</v>
      </c>
      <c r="S116" s="759">
        <f>Aprekini!S308*$B$118</f>
        <v>0</v>
      </c>
      <c r="T116" s="759">
        <f>Aprekini!T308*$B$118</f>
        <v>0</v>
      </c>
      <c r="U116" s="759">
        <f>Aprekini!U308*$B$118</f>
        <v>0</v>
      </c>
      <c r="V116" s="759">
        <f>Aprekini!V308*$B$118</f>
        <v>0</v>
      </c>
      <c r="W116" s="759">
        <f>Aprekini!W308*$B$118</f>
        <v>0</v>
      </c>
      <c r="X116" s="759">
        <f>Aprekini!X308*$B$118</f>
        <v>0</v>
      </c>
      <c r="Y116" s="759">
        <f>Aprekini!Y308*$B$118</f>
        <v>0</v>
      </c>
      <c r="Z116" s="759">
        <f>Aprekini!Z308*$B$118</f>
        <v>0</v>
      </c>
      <c r="AA116" s="759">
        <f>Aprekini!AA308*$B$118</f>
        <v>0</v>
      </c>
      <c r="AB116" s="759">
        <f>Aprekini!AB308*$B$118</f>
        <v>0</v>
      </c>
      <c r="AC116" s="759">
        <f>Aprekini!AC308*$B$118</f>
        <v>0</v>
      </c>
      <c r="AD116" s="759">
        <f>Aprekini!AD308*$B$118</f>
        <v>0</v>
      </c>
      <c r="AE116" s="759">
        <f>Aprekini!AE308*$B$118</f>
        <v>0</v>
      </c>
      <c r="AF116" s="759">
        <f>Aprekini!AF308*$B$118</f>
        <v>0</v>
      </c>
      <c r="AG116" s="759">
        <f>Aprekini!AG308*$B$118</f>
        <v>0</v>
      </c>
      <c r="AH116" s="759">
        <f>Aprekini!AH308*$B$118</f>
        <v>0</v>
      </c>
      <c r="AI116" s="759">
        <f>Aprekini!AI308*$B$118</f>
        <v>0</v>
      </c>
    </row>
    <row r="117" spans="1:251" s="276" customFormat="1" outlineLevel="1" x14ac:dyDescent="0.2">
      <c r="A117" s="278" t="s">
        <v>375</v>
      </c>
      <c r="B117" s="759">
        <f>'gadu šķirošana'!C13+'gadu šķirošana'!C14+'gadu šķirošana'!C11*'gadu šķirošana'!C12*365/1000</f>
        <v>318315.8</v>
      </c>
      <c r="C117" s="759">
        <f>'gadu šķirošana'!D13+'gadu šķirošana'!D14+'gadu šķirošana'!D11*'gadu šķirošana'!D12*365/1000</f>
        <v>318315.8</v>
      </c>
      <c r="D117" s="759">
        <f>'gadu šķirošana'!E13+'gadu šķirošana'!E14+'gadu šķirošana'!E11*'gadu šķirošana'!E12*365/1000</f>
        <v>318315.8</v>
      </c>
      <c r="E117" s="759">
        <f>'gadu šķirošana'!F13+'gadu šķirošana'!F14+'gadu šķirošana'!F11*'gadu šķirošana'!F12*365/1000</f>
        <v>320797.8</v>
      </c>
      <c r="F117" s="759">
        <f>'gadu šķirošana'!G13+'gadu šķirošana'!G14+'gadu šķirošana'!G11*'gadu šķirošana'!G12*365/1000</f>
        <v>320797.8</v>
      </c>
      <c r="G117" s="759">
        <f>'gadu šķirošana'!H13+'gadu šķirošana'!H14+'gadu šķirošana'!H11*'gadu šķirošana'!H12*365/1000</f>
        <v>320797.8</v>
      </c>
      <c r="H117" s="759">
        <f>'gadu šķirošana'!I13+'gadu šķirošana'!I14+'gadu šķirošana'!I11*'gadu šķirošana'!I12*365/1000</f>
        <v>320797.8</v>
      </c>
      <c r="I117" s="759">
        <f>'gadu šķirošana'!J13+'gadu šķirošana'!J14+'gadu šķirošana'!J11*'gadu šķirošana'!J12*365/1000</f>
        <v>320797.8</v>
      </c>
      <c r="J117" s="759">
        <f>'gadu šķirošana'!K13+'gadu šķirošana'!K14+'gadu šķirošana'!K11*'gadu šķirošana'!K12*365/1000</f>
        <v>320797.8</v>
      </c>
      <c r="K117" s="671">
        <f>'gadu šķirošana'!L13+'gadu šķirošana'!L14+'gadu šķirošana'!L11*'gadu šķirošana'!L12*365/1000</f>
        <v>320797.8</v>
      </c>
      <c r="L117" s="671">
        <f>'gadu šķirošana'!M13+'gadu šķirošana'!M14+'gadu šķirošana'!M11*'gadu šķirošana'!M12*365/1000</f>
        <v>320797.8</v>
      </c>
      <c r="M117" s="671">
        <f>'gadu šķirošana'!N13+'gadu šķirošana'!N14+'gadu šķirošana'!N11*'gadu šķirošana'!N12*365/1000</f>
        <v>320797.8</v>
      </c>
      <c r="N117" s="671">
        <f>'gadu šķirošana'!O13+'gadu šķirošana'!O14+'gadu šķirošana'!O11*'gadu šķirošana'!O12*365/1000</f>
        <v>320797.8</v>
      </c>
      <c r="O117" s="671">
        <f>'gadu šķirošana'!P13+'gadu šķirošana'!P14+'gadu šķirošana'!P11*'gadu šķirošana'!P12*365/1000</f>
        <v>320797.8</v>
      </c>
      <c r="P117" s="671">
        <f>'gadu šķirošana'!Q13+'gadu šķirošana'!Q14+'gadu šķirošana'!Q11*'gadu šķirošana'!Q12*365/1000</f>
        <v>320797.8</v>
      </c>
      <c r="Q117" s="671">
        <f>'gadu šķirošana'!R13+'gadu šķirošana'!R14+'gadu šķirošana'!R11*'gadu šķirošana'!R12*365/1000</f>
        <v>320797.8</v>
      </c>
      <c r="R117" s="671">
        <f>'gadu šķirošana'!S13+'gadu šķirošana'!S14+'gadu šķirošana'!S11*'gadu šķirošana'!S12*365/1000</f>
        <v>320797.8</v>
      </c>
      <c r="S117" s="671">
        <f>'gadu šķirošana'!T13+'gadu šķirošana'!T14+'gadu šķirošana'!T11*'gadu šķirošana'!T12*365/1000</f>
        <v>320797.8</v>
      </c>
      <c r="T117" s="671">
        <f>'gadu šķirošana'!U13+'gadu šķirošana'!U14+'gadu šķirošana'!U11*'gadu šķirošana'!U12*365/1000</f>
        <v>320797.8</v>
      </c>
      <c r="U117" s="671">
        <f>'gadu šķirošana'!V13+'gadu šķirošana'!V14+'gadu šķirošana'!V11*'gadu šķirošana'!V12*365/1000</f>
        <v>320797.8</v>
      </c>
      <c r="V117" s="671">
        <f>'gadu šķirošana'!W13+'gadu šķirošana'!W14+'gadu šķirošana'!W11*'gadu šķirošana'!W12*365/1000</f>
        <v>320797.8</v>
      </c>
      <c r="W117" s="671">
        <f>'gadu šķirošana'!X13+'gadu šķirošana'!X14+'gadu šķirošana'!X11*'gadu šķirošana'!X12*365/1000</f>
        <v>320797.8</v>
      </c>
      <c r="X117" s="671">
        <f>'gadu šķirošana'!Y13+'gadu šķirošana'!Y14+'gadu šķirošana'!Y11*'gadu šķirošana'!Y12*365/1000</f>
        <v>320797.8</v>
      </c>
      <c r="Y117" s="671">
        <f>'gadu šķirošana'!Z13+'gadu šķirošana'!Z14+'gadu šķirošana'!Z11*'gadu šķirošana'!Z12*365/1000</f>
        <v>320797.8</v>
      </c>
      <c r="Z117" s="671">
        <f>'gadu šķirošana'!AA13+'gadu šķirošana'!AA14+'gadu šķirošana'!AA11*'gadu šķirošana'!AA12*365/1000</f>
        <v>320797.8</v>
      </c>
      <c r="AA117" s="671">
        <f>'gadu šķirošana'!AB13+'gadu šķirošana'!AB14+'gadu šķirošana'!AB11*'gadu šķirošana'!AB12*365/1000</f>
        <v>320797.8</v>
      </c>
      <c r="AB117" s="671">
        <f>'gadu šķirošana'!AC13+'gadu šķirošana'!AC14+'gadu šķirošana'!AC11*'gadu šķirošana'!AC12*365/1000</f>
        <v>320797.8</v>
      </c>
      <c r="AC117" s="671">
        <f>'gadu šķirošana'!AD13+'gadu šķirošana'!AD14+'gadu šķirošana'!AD11*'gadu šķirošana'!AD12*365/1000</f>
        <v>320797.8</v>
      </c>
      <c r="AD117" s="671">
        <f>'gadu šķirošana'!AE13+'gadu šķirošana'!AE14+'gadu šķirošana'!AE11*'gadu šķirošana'!AE12*365/1000</f>
        <v>320797.8</v>
      </c>
      <c r="AE117" s="671">
        <f>'gadu šķirošana'!AF13+'gadu šķirošana'!AF14+'gadu šķirošana'!AF11*'gadu šķirošana'!AF12*365/1000</f>
        <v>320797.8</v>
      </c>
      <c r="AF117" s="671">
        <f>'gadu šķirošana'!AG13+'gadu šķirošana'!AG14+'gadu šķirošana'!AG11*'gadu šķirošana'!AG12*365/1000</f>
        <v>320797.8</v>
      </c>
      <c r="AG117" s="671">
        <f>'gadu šķirošana'!AH13+'gadu šķirošana'!AH14+'gadu šķirošana'!AH11*'gadu šķirošana'!AH12*365/1000</f>
        <v>320797.8</v>
      </c>
      <c r="AH117" s="671">
        <f>'gadu šķirošana'!AI13+'gadu šķirošana'!AI14+'gadu šķirošana'!AI11*'gadu šķirošana'!AI12*365/1000</f>
        <v>320797.8</v>
      </c>
      <c r="AI117" s="671">
        <f>'gadu šķirošana'!AJ13+'gadu šķirošana'!AJ14+'gadu šķirošana'!AJ11*'gadu šķirošana'!AJ12*365/1000</f>
        <v>320797.8</v>
      </c>
    </row>
    <row r="118" spans="1:251" s="276" customFormat="1" outlineLevel="1" x14ac:dyDescent="0.2">
      <c r="A118" s="278" t="s">
        <v>377</v>
      </c>
      <c r="B118" s="285">
        <f>Aprekini!B173</f>
        <v>0.67560118027457283</v>
      </c>
    </row>
    <row r="119" spans="1:251" outlineLevel="1" x14ac:dyDescent="0.2">
      <c r="A119" s="278" t="s">
        <v>378</v>
      </c>
      <c r="B119" s="281">
        <f>ROUND(Līdzfinansējums!G39/Līdzfinansējums!C9,2)</f>
        <v>0.13</v>
      </c>
    </row>
    <row r="120" spans="1:251" outlineLevel="1" x14ac:dyDescent="0.2">
      <c r="A120" s="278" t="s">
        <v>379</v>
      </c>
      <c r="B120" s="284">
        <f>B107</f>
        <v>7.0000000000000007E-2</v>
      </c>
    </row>
    <row r="121" spans="1:251" outlineLevel="1" x14ac:dyDescent="0.2">
      <c r="A121" s="278"/>
      <c r="B121" s="284"/>
    </row>
    <row r="122" spans="1:251" s="283" customFormat="1" outlineLevel="1" x14ac:dyDescent="0.2">
      <c r="A122" s="278" t="s">
        <v>380</v>
      </c>
      <c r="B122" s="896">
        <f>B59</f>
        <v>1.1200000000000001</v>
      </c>
      <c r="C122" s="896">
        <f>C59</f>
        <v>0.93</v>
      </c>
      <c r="D122" s="895">
        <f>ROUND((1+$B$120)*(D112+D113+D114+D115*$B$118+IF('Datu ievade'!$B$149='Datu ievade'!$AK$7,D116,0))/D117,2)</f>
        <v>0.94</v>
      </c>
      <c r="E122" s="895">
        <f>ROUND((1+$B$120)*(E112+E113+E114+E115*$B$118+IF('Datu ievade'!$B$149='Datu ievade'!$AK$7,E116,0))/E117,2)</f>
        <v>0.97</v>
      </c>
      <c r="F122" s="895">
        <f>ROUND((1+$B$120)*(F112+F113+F114+F115*$B$118+IF('Datu ievade'!$B$149='Datu ievade'!$AK$7,F116,0))/F117,2)</f>
        <v>0.98</v>
      </c>
      <c r="G122" s="895">
        <f>ROUND((1+$B$120)*(G112+G113+G114+G115*$B$118+IF('Datu ievade'!$B$149='Datu ievade'!$AK$7,G116,0))/G117,2)</f>
        <v>1</v>
      </c>
      <c r="H122" s="895">
        <f>ROUND((1+$B$120)*(H112+H113+H114+H115*$B$118+IF('Datu ievade'!$B$149='Datu ievade'!$AK$7,H116,0))/H117,2)</f>
        <v>1.02</v>
      </c>
      <c r="I122" s="895">
        <f>ROUND((1+$B$120)*(I112+I113+I114+I115*$B$118+IF('Datu ievade'!$B$149='Datu ievade'!$AK$7,I116,0))/I117,2)</f>
        <v>1.03</v>
      </c>
      <c r="J122" s="895">
        <f>ROUND((1+$B$120)*(J112+J113+J114+J115*$B$118+IF('Datu ievade'!$B$149='Datu ievade'!$AK$7,J116,0))/J117,2)</f>
        <v>1.05</v>
      </c>
      <c r="K122" s="895">
        <f>ROUND((1+$B$120)*(K112+K113+K114+K115*$B$118+IF('Datu ievade'!$B$149='Datu ievade'!$AK$7,K116,0))/K117,2)</f>
        <v>1.07</v>
      </c>
      <c r="L122" s="895">
        <f>ROUND((1+$B$120)*(L112+L113+L114+L115*$B$118+IF('Datu ievade'!$B$149='Datu ievade'!$AK$7,L116,0))/L117,2)</f>
        <v>1.0900000000000001</v>
      </c>
      <c r="M122" s="895">
        <f>ROUND((1+$B$120)*(M112+M113+M114+M115*$B$118+IF('Datu ievade'!$B$149='Datu ievade'!$AK$7,M116,0))/M117,2)</f>
        <v>1.1000000000000001</v>
      </c>
      <c r="N122" s="895">
        <f>ROUND((1+$B$120)*(N112+N113+N114+N115*$B$118+IF('Datu ievade'!$B$149='Datu ievade'!$AK$7,N116,0))/N117,2)</f>
        <v>1.1100000000000001</v>
      </c>
      <c r="O122" s="895">
        <f>ROUND((1+$B$120)*(O112+O113+O114+O115*$B$118+IF('Datu ievade'!$B$149='Datu ievade'!$AK$7,O116,0))/O117,2)</f>
        <v>1.1299999999999999</v>
      </c>
      <c r="P122" s="895">
        <f>ROUND((1+$B$120)*(P112+P113+P114+P115*$B$118+IF('Datu ievade'!$B$149='Datu ievade'!$AK$7,P116,0))/P117,2)</f>
        <v>1.1499999999999999</v>
      </c>
      <c r="Q122" s="895">
        <f>ROUND((1+$B$120)*(Q112+Q113+Q114+Q115*$B$118+IF('Datu ievade'!$B$149='Datu ievade'!$AK$7,Q116,0))/Q117,2)</f>
        <v>1.18</v>
      </c>
      <c r="R122" s="895">
        <f>ROUND((1+$B$120)*(R112+R113+R114+R115*$B$118+IF('Datu ievade'!$B$149='Datu ievade'!$AK$7,R116,0))/R117,2)</f>
        <v>1.2</v>
      </c>
      <c r="S122" s="895">
        <f>ROUND((1+$B$120)*(S112+S113+S114+S115*$B$118+IF('Datu ievade'!$B$149='Datu ievade'!$AK$7,S116,0))/S117,2)</f>
        <v>1.23</v>
      </c>
      <c r="T122" s="895">
        <f>ROUND((1+$B$120)*(T112+T113+T114+T115*$B$118+IF('Datu ievade'!$B$149='Datu ievade'!$AK$7,T116,0))/T117,2)</f>
        <v>1.25</v>
      </c>
      <c r="U122" s="895">
        <f>ROUND((1+$B$120)*(U112+U113+U114+U115*$B$118+IF('Datu ievade'!$B$149='Datu ievade'!$AK$7,U116,0))/U117,2)</f>
        <v>1.28</v>
      </c>
      <c r="V122" s="895">
        <f>ROUND((1+$B$120)*(V112+V113+V114+V115*$B$118+IF('Datu ievade'!$B$149='Datu ievade'!$AK$7,V116,0))/V117,2)</f>
        <v>1.3</v>
      </c>
      <c r="W122" s="895">
        <f>ROUND((1+$B$120)*(W112+W113+W114+W115*$B$118+IF('Datu ievade'!$B$149='Datu ievade'!$AK$7,W116,0))/W117,2)</f>
        <v>1.33</v>
      </c>
      <c r="X122" s="895">
        <f>ROUND((1+$B$120)*(X112+X113+X114+X115*$B$118+IF('Datu ievade'!$B$149='Datu ievade'!$AK$7,X116,0))/X117,2)</f>
        <v>1.35</v>
      </c>
      <c r="Y122" s="895">
        <f>ROUND((1+$B$120)*(Y112+Y113+Y114+Y115*$B$118+IF('Datu ievade'!$B$149='Datu ievade'!$AK$7,Y116,0))/Y117,2)</f>
        <v>1.38</v>
      </c>
      <c r="Z122" s="895">
        <f>ROUND((1+$B$120)*(Z112+Z113+Z114+Z115*$B$118+IF('Datu ievade'!$B$149='Datu ievade'!$AK$7,Z116,0))/Z117,2)</f>
        <v>1.4</v>
      </c>
      <c r="AA122" s="895">
        <f>ROUND((1+$B$120)*(AA112+AA113+AA114+AA115*$B$118+IF('Datu ievade'!$B$149='Datu ievade'!$AK$7,AA116,0))/AA117,2)</f>
        <v>1.43</v>
      </c>
      <c r="AB122" s="895">
        <f>ROUND((1+$B$120)*(AB112+AB113+AB114+AB115*$B$118+IF('Datu ievade'!$B$149='Datu ievade'!$AK$7,AB116,0))/AB117,2)</f>
        <v>1.46</v>
      </c>
      <c r="AC122" s="895">
        <f>ROUND((1+$B$120)*(AC112+AC113+AC114+AC115*$B$118+IF('Datu ievade'!$B$149='Datu ievade'!$AK$7,AC116,0))/AC117,2)</f>
        <v>1.48</v>
      </c>
      <c r="AD122" s="895">
        <f>ROUND((1+$B$120)*(AD112+AD113+AD114+AD115*$B$118+IF('Datu ievade'!$B$149='Datu ievade'!$AK$7,AD116,0))/AD117,2)</f>
        <v>1.51</v>
      </c>
      <c r="AE122" s="895">
        <f>ROUND((1+$B$120)*(AE112+AE113+AE114+AE115*$B$118+IF('Datu ievade'!$B$149='Datu ievade'!$AK$7,AE116,0))/AE117,2)</f>
        <v>1.54</v>
      </c>
      <c r="AF122" s="895">
        <f>ROUND((1+$B$120)*(AF112+AF113+AF114+AF115*$B$118+IF('Datu ievade'!$B$149='Datu ievade'!$AK$7,AF116,0))/AF117,2)</f>
        <v>1.57</v>
      </c>
      <c r="AG122" s="895">
        <f>ROUND((1+$B$120)*(AG112+AG113+AG114+AG115*$B$118+IF('Datu ievade'!$B$149='Datu ievade'!$AK$7,AG116,0))/AG117,2)</f>
        <v>1.6</v>
      </c>
      <c r="AH122" s="895">
        <f>ROUND((1+$B$120)*(AH112+AH113+AH114+AH115*$B$118+IF('Datu ievade'!$B$149='Datu ievade'!$AK$7,AH116,0))/AH117,2)</f>
        <v>1.64</v>
      </c>
      <c r="AI122" s="895">
        <f>ROUND((1+$B$120)*(AI112+AI113+AI114+AI115*$B$118+IF('Datu ievade'!$B$149='Datu ievade'!$AK$7,AI116,0))/AI117,2)</f>
        <v>1.67</v>
      </c>
    </row>
    <row r="123" spans="1:251" s="276" customFormat="1" outlineLevel="1" x14ac:dyDescent="0.2">
      <c r="A123" s="278" t="s">
        <v>383</v>
      </c>
      <c r="B123" s="896">
        <f>'Iedzivotaju maksatspeja'!B28/1.21</f>
        <v>1.1200000000000001</v>
      </c>
      <c r="C123" s="896">
        <f>'Iedzivotaju maksatspeja'!C28/1.21</f>
        <v>0.93</v>
      </c>
      <c r="D123" s="895">
        <f>'Iedzivotaju maksatspeja'!D28/1.21</f>
        <v>0.94</v>
      </c>
      <c r="E123" s="895">
        <f>'Iedzivotaju maksatspeja'!E28/1.21</f>
        <v>0.97</v>
      </c>
      <c r="F123" s="895">
        <f>'Iedzivotaju maksatspeja'!F28/1.21</f>
        <v>0.98</v>
      </c>
      <c r="G123" s="895">
        <f>'Iedzivotaju maksatspeja'!G28/1.21</f>
        <v>1</v>
      </c>
      <c r="H123" s="895">
        <f>'Iedzivotaju maksatspeja'!H28/1.21</f>
        <v>1.02</v>
      </c>
      <c r="I123" s="895">
        <f>'Iedzivotaju maksatspeja'!I28/1.21</f>
        <v>1.03</v>
      </c>
      <c r="J123" s="895">
        <f>'Iedzivotaju maksatspeja'!J28/1.21</f>
        <v>1.05</v>
      </c>
      <c r="K123" s="895">
        <f>'Iedzivotaju maksatspeja'!K28/1.21</f>
        <v>1.07</v>
      </c>
      <c r="L123" s="895">
        <f>'Iedzivotaju maksatspeja'!L28/1.21</f>
        <v>1.0900000000000001</v>
      </c>
      <c r="M123" s="895">
        <f>'Iedzivotaju maksatspeja'!M28/1.21</f>
        <v>1.1000000000000001</v>
      </c>
      <c r="N123" s="895">
        <f>'Iedzivotaju maksatspeja'!N28/1.21</f>
        <v>1.1100000000000001</v>
      </c>
      <c r="O123" s="895">
        <f>'Iedzivotaju maksatspeja'!O28/1.21</f>
        <v>1.1299999999999999</v>
      </c>
      <c r="P123" s="895">
        <f>'Iedzivotaju maksatspeja'!P28/1.21</f>
        <v>1.1499999999999999</v>
      </c>
      <c r="Q123" s="895">
        <f>'Iedzivotaju maksatspeja'!Q28/1.21</f>
        <v>1.18</v>
      </c>
      <c r="R123" s="895">
        <f>'Iedzivotaju maksatspeja'!R28/1.21</f>
        <v>1.2</v>
      </c>
      <c r="S123" s="895">
        <f>'Iedzivotaju maksatspeja'!S28/1.21</f>
        <v>1.23</v>
      </c>
      <c r="T123" s="895">
        <f>'Iedzivotaju maksatspeja'!T28/1.21</f>
        <v>1.25</v>
      </c>
      <c r="U123" s="895">
        <f>'Iedzivotaju maksatspeja'!U28/1.21</f>
        <v>1.28</v>
      </c>
      <c r="V123" s="895">
        <f>'Iedzivotaju maksatspeja'!V28/1.21</f>
        <v>1.3</v>
      </c>
      <c r="W123" s="895">
        <f>'Iedzivotaju maksatspeja'!W28/1.21</f>
        <v>1.33</v>
      </c>
      <c r="X123" s="895">
        <f>'Iedzivotaju maksatspeja'!X28/1.21</f>
        <v>1.35</v>
      </c>
      <c r="Y123" s="895">
        <f>'Iedzivotaju maksatspeja'!Y28/1.21</f>
        <v>1.38</v>
      </c>
      <c r="Z123" s="895">
        <f>'Iedzivotaju maksatspeja'!Z28/1.21</f>
        <v>1.4</v>
      </c>
      <c r="AA123" s="895">
        <f>'Iedzivotaju maksatspeja'!AA28/1.21</f>
        <v>1.43</v>
      </c>
      <c r="AB123" s="895">
        <f>'Iedzivotaju maksatspeja'!AB28/1.21</f>
        <v>1.46</v>
      </c>
      <c r="AC123" s="895">
        <f>'Iedzivotaju maksatspeja'!AC28/1.21</f>
        <v>1.48</v>
      </c>
      <c r="AD123" s="895">
        <f>'Iedzivotaju maksatspeja'!AD28/1.21</f>
        <v>1.51</v>
      </c>
      <c r="AE123" s="895">
        <f>'Iedzivotaju maksatspeja'!AE28/1.21</f>
        <v>1.54</v>
      </c>
      <c r="AF123" s="895">
        <f>'Iedzivotaju maksatspeja'!AF28/1.21</f>
        <v>1.57</v>
      </c>
      <c r="AG123" s="895">
        <f>'Iedzivotaju maksatspeja'!AG28/1.21</f>
        <v>1.6</v>
      </c>
      <c r="AH123" s="895">
        <f>'Iedzivotaju maksatspeja'!AH28/1.21</f>
        <v>1.64</v>
      </c>
      <c r="AI123" s="895">
        <f>'Iedzivotaju maksatspeja'!AI28/1.21</f>
        <v>1.6699999999999997</v>
      </c>
    </row>
    <row r="124" spans="1:251" s="276" customFormat="1" x14ac:dyDescent="0.2">
      <c r="B124" s="630"/>
      <c r="C124" s="630"/>
      <c r="D124" s="630"/>
      <c r="E124" s="630"/>
      <c r="F124" s="630"/>
      <c r="G124" s="630"/>
      <c r="H124" s="630"/>
      <c r="I124" s="630"/>
      <c r="J124" s="630"/>
      <c r="K124" s="630"/>
      <c r="L124" s="630"/>
      <c r="M124" s="630"/>
      <c r="N124" s="630"/>
      <c r="O124" s="630"/>
      <c r="P124" s="630"/>
      <c r="Q124" s="630"/>
      <c r="R124" s="630"/>
      <c r="S124" s="630"/>
      <c r="T124" s="630"/>
      <c r="U124" s="630"/>
      <c r="V124" s="630"/>
      <c r="W124" s="630"/>
      <c r="X124" s="630"/>
      <c r="Y124" s="630"/>
      <c r="Z124" s="630"/>
      <c r="AA124" s="630"/>
      <c r="AB124" s="630"/>
      <c r="AC124" s="630"/>
      <c r="AD124" s="630"/>
      <c r="AE124" s="630"/>
      <c r="AF124" s="630"/>
      <c r="AG124" s="630"/>
      <c r="AH124" s="630"/>
      <c r="AI124" s="630"/>
    </row>
    <row r="125" spans="1:251" s="4" customFormat="1" ht="47.25" x14ac:dyDescent="0.2">
      <c r="A125" s="167" t="s">
        <v>229</v>
      </c>
      <c r="B125" s="168"/>
      <c r="C125" s="168"/>
      <c r="D125" s="168"/>
      <c r="E125" s="169"/>
      <c r="F125" s="169"/>
      <c r="G125" s="169"/>
      <c r="H125" s="169"/>
      <c r="I125" s="169"/>
      <c r="J125" s="169"/>
      <c r="K125" s="169"/>
      <c r="L125" s="169"/>
      <c r="M125" s="169"/>
      <c r="N125" s="169"/>
      <c r="O125" s="169"/>
      <c r="P125" s="169"/>
      <c r="Q125" s="169"/>
      <c r="R125" s="169"/>
      <c r="S125" s="170"/>
      <c r="T125" s="170"/>
      <c r="U125" s="170"/>
      <c r="V125" s="170"/>
      <c r="W125" s="170"/>
      <c r="X125" s="170"/>
      <c r="Y125" s="170"/>
      <c r="Z125" s="170"/>
      <c r="AA125" s="170"/>
      <c r="AB125" s="170"/>
      <c r="AC125" s="170"/>
      <c r="AD125" s="170"/>
      <c r="AE125" s="170"/>
      <c r="AF125" s="170"/>
      <c r="AG125" s="170"/>
      <c r="AH125" s="170"/>
      <c r="AI125" s="170"/>
      <c r="AJ125" s="254"/>
      <c r="AK125" s="254"/>
      <c r="AL125" s="254"/>
      <c r="AM125" s="254"/>
      <c r="AN125" s="254"/>
      <c r="AO125" s="254"/>
      <c r="AP125" s="254"/>
      <c r="AQ125" s="254"/>
      <c r="AR125" s="254"/>
      <c r="AS125" s="254"/>
      <c r="AT125" s="254"/>
      <c r="AU125" s="254"/>
      <c r="AV125" s="254"/>
      <c r="AW125" s="254"/>
      <c r="AX125" s="254"/>
      <c r="AY125" s="254"/>
      <c r="AZ125" s="254"/>
      <c r="BA125" s="254"/>
      <c r="BB125" s="254"/>
      <c r="BC125" s="254"/>
      <c r="BD125" s="254"/>
      <c r="BE125" s="254"/>
      <c r="BF125" s="254"/>
      <c r="BG125" s="254"/>
      <c r="BH125" s="254"/>
      <c r="BI125" s="254"/>
      <c r="BJ125" s="254"/>
      <c r="BK125" s="254"/>
      <c r="BL125" s="254"/>
      <c r="BM125" s="254"/>
      <c r="BN125" s="254"/>
      <c r="BO125" s="254"/>
      <c r="BP125" s="254"/>
      <c r="BQ125" s="254"/>
      <c r="BR125" s="254"/>
      <c r="BS125" s="254"/>
      <c r="BT125" s="254"/>
      <c r="BU125" s="254"/>
      <c r="BV125" s="254"/>
      <c r="BW125" s="254"/>
      <c r="BX125" s="254"/>
      <c r="BY125" s="254"/>
      <c r="BZ125" s="254"/>
      <c r="CA125" s="254"/>
      <c r="CB125" s="254"/>
      <c r="CC125" s="254"/>
      <c r="CD125" s="254"/>
      <c r="CE125" s="254"/>
      <c r="CF125" s="254"/>
      <c r="CG125" s="254"/>
      <c r="CH125" s="254"/>
      <c r="CI125" s="254"/>
      <c r="CJ125" s="254"/>
      <c r="CK125" s="254"/>
      <c r="CL125" s="254"/>
      <c r="CM125" s="254"/>
      <c r="CN125" s="254"/>
      <c r="CO125" s="254"/>
      <c r="CP125" s="254"/>
      <c r="CQ125" s="254"/>
      <c r="CR125" s="254"/>
      <c r="CS125" s="254"/>
      <c r="CT125" s="254"/>
      <c r="CU125" s="254"/>
      <c r="CV125" s="254"/>
      <c r="CW125" s="254"/>
      <c r="CX125" s="254"/>
      <c r="CY125" s="254"/>
      <c r="CZ125" s="254"/>
      <c r="DA125" s="254"/>
      <c r="DB125" s="254"/>
      <c r="DC125" s="254"/>
      <c r="DD125" s="254"/>
      <c r="DE125" s="254"/>
      <c r="DF125" s="254"/>
      <c r="DG125" s="254"/>
      <c r="DH125" s="254"/>
      <c r="DI125" s="254"/>
      <c r="DJ125" s="254"/>
      <c r="DK125" s="254"/>
      <c r="DL125" s="254"/>
      <c r="DM125" s="254"/>
      <c r="DN125" s="254"/>
      <c r="DO125" s="254"/>
      <c r="DP125" s="254"/>
      <c r="DQ125" s="254"/>
      <c r="DR125" s="254"/>
      <c r="DS125" s="254"/>
      <c r="DT125" s="254"/>
      <c r="DU125" s="254"/>
      <c r="DV125" s="254"/>
      <c r="DW125" s="254"/>
      <c r="DX125" s="254"/>
      <c r="DY125" s="254"/>
      <c r="DZ125" s="254"/>
      <c r="EA125" s="254"/>
      <c r="EB125" s="254"/>
      <c r="EC125" s="254"/>
      <c r="ED125" s="254"/>
      <c r="EE125" s="254"/>
      <c r="EF125" s="254"/>
      <c r="EG125" s="254"/>
      <c r="EH125" s="254"/>
      <c r="EI125" s="254"/>
      <c r="EJ125" s="254"/>
      <c r="EK125" s="254"/>
      <c r="EL125" s="254"/>
      <c r="EM125" s="254"/>
      <c r="EN125" s="254"/>
      <c r="EO125" s="254"/>
      <c r="EP125" s="254"/>
      <c r="EQ125" s="254"/>
      <c r="ER125" s="254"/>
      <c r="ES125" s="254"/>
      <c r="ET125" s="254"/>
      <c r="EU125" s="254"/>
      <c r="EV125" s="254"/>
      <c r="EW125" s="254"/>
      <c r="EX125" s="254"/>
      <c r="EY125" s="254"/>
      <c r="EZ125" s="254"/>
      <c r="FA125" s="254"/>
      <c r="FB125" s="254"/>
      <c r="FC125" s="254"/>
      <c r="FD125" s="254"/>
      <c r="FE125" s="254"/>
      <c r="FF125" s="254"/>
      <c r="FG125" s="254"/>
      <c r="FH125" s="254"/>
      <c r="FI125" s="254"/>
      <c r="FJ125" s="254"/>
      <c r="FK125" s="254"/>
      <c r="FL125" s="254"/>
      <c r="FM125" s="254"/>
      <c r="FN125" s="254"/>
      <c r="FO125" s="254"/>
      <c r="FP125" s="254"/>
      <c r="FQ125" s="254"/>
      <c r="FR125" s="254"/>
      <c r="FS125" s="254"/>
      <c r="FT125" s="254"/>
      <c r="FU125" s="254"/>
      <c r="FV125" s="254"/>
      <c r="FW125" s="254"/>
      <c r="FX125" s="254"/>
      <c r="FY125" s="254"/>
      <c r="FZ125" s="254"/>
      <c r="GA125" s="254"/>
      <c r="GB125" s="254"/>
      <c r="GC125" s="254"/>
      <c r="GD125" s="254"/>
      <c r="GE125" s="254"/>
      <c r="GF125" s="254"/>
      <c r="GG125" s="254"/>
      <c r="GH125" s="254"/>
      <c r="GI125" s="254"/>
      <c r="GJ125" s="254"/>
      <c r="GK125" s="254"/>
      <c r="GL125" s="254"/>
      <c r="GM125" s="254"/>
      <c r="GN125" s="254"/>
      <c r="GO125" s="254"/>
      <c r="GP125" s="254"/>
      <c r="GQ125" s="254"/>
      <c r="GR125" s="254"/>
      <c r="GS125" s="254"/>
      <c r="GT125" s="254"/>
      <c r="GU125" s="254"/>
      <c r="GV125" s="254"/>
      <c r="GW125" s="254"/>
      <c r="GX125" s="254"/>
      <c r="GY125" s="254"/>
      <c r="GZ125" s="254"/>
      <c r="HA125" s="254"/>
      <c r="HB125" s="254"/>
      <c r="HC125" s="254"/>
      <c r="HD125" s="254"/>
      <c r="HE125" s="254"/>
      <c r="HF125" s="254"/>
      <c r="HG125" s="254"/>
      <c r="HH125" s="254"/>
      <c r="HI125" s="254"/>
      <c r="HJ125" s="254"/>
      <c r="HK125" s="254"/>
      <c r="HL125" s="254"/>
      <c r="HM125" s="254"/>
      <c r="HN125" s="254"/>
      <c r="HO125" s="254"/>
      <c r="HP125" s="254"/>
      <c r="HQ125" s="254"/>
      <c r="HR125" s="254"/>
      <c r="HS125" s="254"/>
      <c r="HT125" s="254"/>
      <c r="HU125" s="254"/>
      <c r="HV125" s="254"/>
      <c r="HW125" s="254"/>
      <c r="HX125" s="254"/>
      <c r="HY125" s="254"/>
      <c r="HZ125" s="254"/>
      <c r="IA125" s="254"/>
      <c r="IB125" s="254"/>
      <c r="IC125" s="254"/>
      <c r="ID125" s="254"/>
      <c r="IE125" s="254"/>
      <c r="IF125" s="254"/>
      <c r="IG125" s="254"/>
      <c r="IH125" s="254"/>
      <c r="II125" s="254"/>
      <c r="IJ125" s="254"/>
      <c r="IK125" s="254"/>
      <c r="IL125" s="254"/>
      <c r="IM125" s="254"/>
      <c r="IN125" s="254"/>
      <c r="IO125" s="254"/>
      <c r="IP125" s="254"/>
      <c r="IQ125" s="254"/>
    </row>
    <row r="126" spans="1:251" s="4" customFormat="1" ht="12.75" x14ac:dyDescent="0.2">
      <c r="A126" s="257"/>
      <c r="B126" s="258"/>
      <c r="C126" s="258"/>
      <c r="D126" s="258"/>
      <c r="E126" s="148"/>
      <c r="F126" s="148"/>
      <c r="G126" s="148"/>
      <c r="H126" s="148"/>
      <c r="I126" s="148"/>
      <c r="J126" s="148"/>
      <c r="K126" s="148" t="s">
        <v>16</v>
      </c>
      <c r="L126" s="148"/>
      <c r="M126" s="148"/>
      <c r="N126" s="148"/>
      <c r="O126" s="148"/>
      <c r="P126" s="148"/>
      <c r="Q126" s="148"/>
      <c r="R126" s="148"/>
      <c r="S126" s="258"/>
      <c r="T126" s="258"/>
      <c r="U126" s="116"/>
      <c r="V126" s="116"/>
      <c r="W126" s="116"/>
      <c r="X126" s="116"/>
      <c r="Y126" s="116"/>
      <c r="Z126" s="116"/>
      <c r="AA126" s="116"/>
      <c r="AB126" s="116"/>
      <c r="AC126" s="116"/>
      <c r="AD126" s="116"/>
      <c r="AE126" s="116"/>
      <c r="AF126" s="116"/>
      <c r="AG126" s="116"/>
      <c r="AH126" s="116"/>
      <c r="AI126" s="116"/>
      <c r="AJ126" s="254"/>
      <c r="AK126" s="254"/>
      <c r="AL126" s="254"/>
      <c r="AM126" s="254"/>
      <c r="AN126" s="254"/>
      <c r="AO126" s="254"/>
      <c r="AP126" s="254"/>
      <c r="AQ126" s="254"/>
      <c r="AR126" s="254"/>
      <c r="AS126" s="254"/>
      <c r="AT126" s="254"/>
      <c r="AU126" s="254"/>
      <c r="AV126" s="254"/>
      <c r="AW126" s="254"/>
      <c r="AX126" s="254"/>
      <c r="AY126" s="254"/>
      <c r="AZ126" s="254"/>
      <c r="BA126" s="254"/>
      <c r="BB126" s="254"/>
      <c r="BC126" s="254"/>
      <c r="BD126" s="254"/>
      <c r="BE126" s="254"/>
      <c r="BF126" s="254"/>
      <c r="BG126" s="254"/>
      <c r="BH126" s="254"/>
      <c r="BI126" s="254"/>
      <c r="BJ126" s="254"/>
      <c r="BK126" s="254"/>
      <c r="BL126" s="254"/>
      <c r="BM126" s="254"/>
      <c r="BN126" s="254"/>
      <c r="BO126" s="254"/>
      <c r="BP126" s="254"/>
      <c r="BQ126" s="254"/>
      <c r="BR126" s="254"/>
      <c r="BS126" s="254"/>
      <c r="BT126" s="254"/>
      <c r="BU126" s="254"/>
      <c r="BV126" s="254"/>
      <c r="BW126" s="254"/>
      <c r="BX126" s="254"/>
      <c r="BY126" s="254"/>
      <c r="BZ126" s="254"/>
      <c r="CA126" s="254"/>
      <c r="CB126" s="254"/>
      <c r="CC126" s="254"/>
      <c r="CD126" s="254"/>
      <c r="CE126" s="254"/>
      <c r="CF126" s="254"/>
      <c r="CG126" s="254"/>
      <c r="CH126" s="254"/>
      <c r="CI126" s="254"/>
      <c r="CJ126" s="254"/>
      <c r="CK126" s="254"/>
      <c r="CL126" s="254"/>
      <c r="CM126" s="254"/>
      <c r="CN126" s="254"/>
      <c r="CO126" s="254"/>
      <c r="CP126" s="254"/>
      <c r="CQ126" s="254"/>
      <c r="CR126" s="254"/>
      <c r="CS126" s="254"/>
      <c r="CT126" s="254"/>
      <c r="CU126" s="254"/>
      <c r="CV126" s="254"/>
      <c r="CW126" s="254"/>
      <c r="CX126" s="254"/>
      <c r="CY126" s="254"/>
      <c r="CZ126" s="254"/>
      <c r="DA126" s="254"/>
      <c r="DB126" s="254"/>
      <c r="DC126" s="254"/>
      <c r="DD126" s="254"/>
      <c r="DE126" s="254"/>
      <c r="DF126" s="254"/>
      <c r="DG126" s="254"/>
      <c r="DH126" s="254"/>
      <c r="DI126" s="254"/>
      <c r="DJ126" s="254"/>
      <c r="DK126" s="254"/>
      <c r="DL126" s="254"/>
      <c r="DM126" s="254"/>
      <c r="DN126" s="254"/>
      <c r="DO126" s="254"/>
      <c r="DP126" s="254"/>
      <c r="DQ126" s="254"/>
      <c r="DR126" s="254"/>
      <c r="DS126" s="254"/>
      <c r="DT126" s="254"/>
      <c r="DU126" s="254"/>
      <c r="DV126" s="254"/>
      <c r="DW126" s="254"/>
      <c r="DX126" s="254"/>
      <c r="DY126" s="254"/>
      <c r="DZ126" s="254"/>
      <c r="EA126" s="254"/>
      <c r="EB126" s="254"/>
      <c r="EC126" s="254"/>
      <c r="ED126" s="254"/>
      <c r="EE126" s="254"/>
      <c r="EF126" s="254"/>
      <c r="EG126" s="254"/>
      <c r="EH126" s="254"/>
      <c r="EI126" s="254"/>
      <c r="EJ126" s="254"/>
      <c r="EK126" s="254"/>
      <c r="EL126" s="254"/>
      <c r="EM126" s="254"/>
      <c r="EN126" s="254"/>
      <c r="EO126" s="254"/>
      <c r="EP126" s="254"/>
      <c r="EQ126" s="254"/>
      <c r="ER126" s="254"/>
      <c r="ES126" s="254"/>
      <c r="ET126" s="254"/>
      <c r="EU126" s="254"/>
      <c r="EV126" s="254"/>
      <c r="EW126" s="254"/>
      <c r="EX126" s="254"/>
      <c r="EY126" s="254"/>
      <c r="EZ126" s="254"/>
      <c r="FA126" s="254"/>
      <c r="FB126" s="254"/>
      <c r="FC126" s="254"/>
      <c r="FD126" s="254"/>
      <c r="FE126" s="254"/>
      <c r="FF126" s="254"/>
      <c r="FG126" s="254"/>
      <c r="FH126" s="254"/>
      <c r="FI126" s="254"/>
      <c r="FJ126" s="254"/>
      <c r="FK126" s="254"/>
      <c r="FL126" s="254"/>
      <c r="FM126" s="254"/>
      <c r="FN126" s="254"/>
      <c r="FO126" s="254"/>
      <c r="FP126" s="254"/>
      <c r="FQ126" s="254"/>
      <c r="FR126" s="254"/>
      <c r="FS126" s="254"/>
      <c r="FT126" s="254"/>
      <c r="FU126" s="254"/>
      <c r="FV126" s="254"/>
      <c r="FW126" s="254"/>
      <c r="FX126" s="254"/>
      <c r="FY126" s="254"/>
      <c r="FZ126" s="254"/>
      <c r="GA126" s="254"/>
      <c r="GB126" s="254"/>
      <c r="GC126" s="254"/>
      <c r="GD126" s="254"/>
      <c r="GE126" s="254"/>
      <c r="GF126" s="254"/>
      <c r="GG126" s="254"/>
      <c r="GH126" s="254"/>
      <c r="GI126" s="254"/>
      <c r="GJ126" s="254"/>
      <c r="GK126" s="254"/>
      <c r="GL126" s="254"/>
      <c r="GM126" s="254"/>
      <c r="GN126" s="254"/>
      <c r="GO126" s="254"/>
      <c r="GP126" s="254"/>
      <c r="GQ126" s="254"/>
      <c r="GR126" s="254"/>
      <c r="GS126" s="254"/>
      <c r="GT126" s="254"/>
      <c r="GU126" s="254"/>
      <c r="GV126" s="254"/>
      <c r="GW126" s="254"/>
      <c r="GX126" s="254"/>
      <c r="GY126" s="254"/>
      <c r="GZ126" s="254"/>
      <c r="HA126" s="254"/>
      <c r="HB126" s="254"/>
      <c r="HC126" s="254"/>
      <c r="HD126" s="254"/>
      <c r="HE126" s="254"/>
      <c r="HF126" s="254"/>
      <c r="HG126" s="254"/>
      <c r="HH126" s="254"/>
      <c r="HI126" s="254"/>
      <c r="HJ126" s="254"/>
      <c r="HK126" s="254"/>
      <c r="HL126" s="254"/>
      <c r="HM126" s="254"/>
      <c r="HN126" s="254"/>
      <c r="HO126" s="254"/>
      <c r="HP126" s="254"/>
      <c r="HQ126" s="254"/>
      <c r="HR126" s="254"/>
      <c r="HS126" s="254"/>
      <c r="HT126" s="254"/>
      <c r="HU126" s="254"/>
      <c r="HV126" s="254"/>
      <c r="HW126" s="254"/>
      <c r="HX126" s="254"/>
      <c r="HY126" s="254"/>
      <c r="HZ126" s="254"/>
      <c r="IA126" s="254"/>
      <c r="IB126" s="254"/>
      <c r="IC126" s="254"/>
      <c r="ID126" s="254"/>
      <c r="IE126" s="254"/>
      <c r="IF126" s="254"/>
      <c r="IG126" s="254"/>
      <c r="IH126" s="254"/>
      <c r="II126" s="254"/>
      <c r="IJ126" s="254"/>
      <c r="IK126" s="254"/>
      <c r="IL126" s="254"/>
      <c r="IM126" s="254"/>
      <c r="IN126" s="254"/>
      <c r="IO126" s="254"/>
      <c r="IP126" s="254"/>
      <c r="IQ126" s="254"/>
    </row>
    <row r="127" spans="1:251" s="260" customFormat="1" ht="12.75" x14ac:dyDescent="0.2">
      <c r="A127" s="17"/>
      <c r="B127" s="174">
        <f>'Saimnieciskas pamatdarbibas NP'!B6</f>
        <v>2019</v>
      </c>
      <c r="C127" s="174">
        <f t="shared" ref="C127:AG127" si="111">B127+1</f>
        <v>2020</v>
      </c>
      <c r="D127" s="174">
        <f t="shared" si="111"/>
        <v>2021</v>
      </c>
      <c r="E127" s="174">
        <f t="shared" si="111"/>
        <v>2022</v>
      </c>
      <c r="F127" s="174">
        <f t="shared" si="111"/>
        <v>2023</v>
      </c>
      <c r="G127" s="174">
        <f t="shared" si="111"/>
        <v>2024</v>
      </c>
      <c r="H127" s="174">
        <f t="shared" si="111"/>
        <v>2025</v>
      </c>
      <c r="I127" s="174">
        <f t="shared" si="111"/>
        <v>2026</v>
      </c>
      <c r="J127" s="174">
        <f t="shared" si="111"/>
        <v>2027</v>
      </c>
      <c r="K127" s="174">
        <f t="shared" si="111"/>
        <v>2028</v>
      </c>
      <c r="L127" s="174">
        <f t="shared" si="111"/>
        <v>2029</v>
      </c>
      <c r="M127" s="174">
        <f t="shared" si="111"/>
        <v>2030</v>
      </c>
      <c r="N127" s="174">
        <f t="shared" si="111"/>
        <v>2031</v>
      </c>
      <c r="O127" s="174">
        <f t="shared" si="111"/>
        <v>2032</v>
      </c>
      <c r="P127" s="174">
        <f t="shared" si="111"/>
        <v>2033</v>
      </c>
      <c r="Q127" s="174">
        <f t="shared" si="111"/>
        <v>2034</v>
      </c>
      <c r="R127" s="174">
        <f t="shared" si="111"/>
        <v>2035</v>
      </c>
      <c r="S127" s="174">
        <f t="shared" si="111"/>
        <v>2036</v>
      </c>
      <c r="T127" s="174">
        <f t="shared" si="111"/>
        <v>2037</v>
      </c>
      <c r="U127" s="174">
        <f t="shared" si="111"/>
        <v>2038</v>
      </c>
      <c r="V127" s="174">
        <f t="shared" si="111"/>
        <v>2039</v>
      </c>
      <c r="W127" s="174">
        <f t="shared" si="111"/>
        <v>2040</v>
      </c>
      <c r="X127" s="174">
        <f t="shared" si="111"/>
        <v>2041</v>
      </c>
      <c r="Y127" s="174">
        <f t="shared" si="111"/>
        <v>2042</v>
      </c>
      <c r="Z127" s="174">
        <f t="shared" si="111"/>
        <v>2043</v>
      </c>
      <c r="AA127" s="174">
        <f t="shared" si="111"/>
        <v>2044</v>
      </c>
      <c r="AB127" s="174">
        <f t="shared" si="111"/>
        <v>2045</v>
      </c>
      <c r="AC127" s="174">
        <f t="shared" si="111"/>
        <v>2046</v>
      </c>
      <c r="AD127" s="174">
        <f t="shared" si="111"/>
        <v>2047</v>
      </c>
      <c r="AE127" s="174">
        <f t="shared" si="111"/>
        <v>2048</v>
      </c>
      <c r="AF127" s="174">
        <f t="shared" si="111"/>
        <v>2049</v>
      </c>
      <c r="AG127" s="174">
        <f t="shared" si="111"/>
        <v>2050</v>
      </c>
      <c r="AH127" s="174">
        <f>AG127+1</f>
        <v>2051</v>
      </c>
      <c r="AI127" s="174">
        <f>AH127+1</f>
        <v>2052</v>
      </c>
    </row>
    <row r="128" spans="1:251" s="203" customFormat="1" ht="12.75" x14ac:dyDescent="0.2">
      <c r="A128" s="261" t="s">
        <v>66</v>
      </c>
      <c r="B128" s="869">
        <f t="shared" ref="B128:AI128" si="112">B64-B7</f>
        <v>0</v>
      </c>
      <c r="C128" s="869">
        <f t="shared" si="112"/>
        <v>0</v>
      </c>
      <c r="D128" s="869">
        <f t="shared" si="112"/>
        <v>7136.5139999999956</v>
      </c>
      <c r="E128" s="869">
        <f t="shared" si="112"/>
        <v>7272.4475999999559</v>
      </c>
      <c r="F128" s="869">
        <f t="shared" si="112"/>
        <v>7408.3812000000034</v>
      </c>
      <c r="G128" s="869">
        <f t="shared" si="112"/>
        <v>7544.3148000000219</v>
      </c>
      <c r="H128" s="869">
        <f t="shared" si="112"/>
        <v>7680.2484000000113</v>
      </c>
      <c r="I128" s="869">
        <f t="shared" si="112"/>
        <v>7816.1820000000298</v>
      </c>
      <c r="J128" s="869">
        <f t="shared" si="112"/>
        <v>7952.1155999999901</v>
      </c>
      <c r="K128" s="869">
        <f t="shared" si="112"/>
        <v>8088.0492000000086</v>
      </c>
      <c r="L128" s="869">
        <f t="shared" si="112"/>
        <v>8223.982799999998</v>
      </c>
      <c r="M128" s="869">
        <f t="shared" si="112"/>
        <v>8359.9164000000164</v>
      </c>
      <c r="N128" s="869">
        <f t="shared" si="112"/>
        <v>8495.8500000000058</v>
      </c>
      <c r="O128" s="869">
        <f t="shared" si="112"/>
        <v>8699.7503999999899</v>
      </c>
      <c r="P128" s="869">
        <f t="shared" si="112"/>
        <v>8903.6508000000031</v>
      </c>
      <c r="Q128" s="869">
        <f t="shared" si="112"/>
        <v>9107.5511999999871</v>
      </c>
      <c r="R128" s="869">
        <f t="shared" si="112"/>
        <v>9311.4516000000003</v>
      </c>
      <c r="S128" s="869">
        <f t="shared" si="112"/>
        <v>9515.3519999999844</v>
      </c>
      <c r="T128" s="869">
        <f t="shared" si="112"/>
        <v>9719.2524000000267</v>
      </c>
      <c r="U128" s="869">
        <f t="shared" si="112"/>
        <v>9923.1528000000108</v>
      </c>
      <c r="V128" s="869">
        <f t="shared" si="112"/>
        <v>10127.053200000024</v>
      </c>
      <c r="W128" s="869">
        <f t="shared" si="112"/>
        <v>10330.953600000008</v>
      </c>
      <c r="X128" s="869">
        <f t="shared" si="112"/>
        <v>10534.853999999963</v>
      </c>
      <c r="Y128" s="869">
        <f t="shared" si="112"/>
        <v>10738.754399999976</v>
      </c>
      <c r="Z128" s="869">
        <f t="shared" si="112"/>
        <v>10942.654799999989</v>
      </c>
      <c r="AA128" s="869">
        <f t="shared" si="112"/>
        <v>11146.555200000003</v>
      </c>
      <c r="AB128" s="869">
        <f t="shared" si="112"/>
        <v>11350.455600000045</v>
      </c>
      <c r="AC128" s="869">
        <f t="shared" si="112"/>
        <v>11554.356000000029</v>
      </c>
      <c r="AD128" s="869">
        <f t="shared" si="112"/>
        <v>11758.256400000013</v>
      </c>
      <c r="AE128" s="869">
        <f t="shared" si="112"/>
        <v>11962.156799999939</v>
      </c>
      <c r="AF128" s="869">
        <f t="shared" si="112"/>
        <v>12234.023999999976</v>
      </c>
      <c r="AG128" s="869">
        <f t="shared" si="112"/>
        <v>12505.891199999955</v>
      </c>
      <c r="AH128" s="869">
        <f t="shared" si="112"/>
        <v>12777.758399999992</v>
      </c>
      <c r="AI128" s="869">
        <f t="shared" si="112"/>
        <v>13049.62559999997</v>
      </c>
    </row>
    <row r="129" spans="1:35" s="260" customFormat="1" ht="12.75" x14ac:dyDescent="0.2">
      <c r="A129" s="262" t="s">
        <v>67</v>
      </c>
      <c r="B129" s="748">
        <f t="shared" ref="B129:AI129" si="113">B65-B8</f>
        <v>0</v>
      </c>
      <c r="C129" s="748">
        <f t="shared" si="113"/>
        <v>0</v>
      </c>
      <c r="D129" s="748">
        <f t="shared" si="113"/>
        <v>5250</v>
      </c>
      <c r="E129" s="748">
        <f t="shared" si="113"/>
        <v>5350</v>
      </c>
      <c r="F129" s="748">
        <f t="shared" si="113"/>
        <v>5450</v>
      </c>
      <c r="G129" s="732">
        <f t="shared" si="113"/>
        <v>5550</v>
      </c>
      <c r="H129" s="732">
        <f t="shared" si="113"/>
        <v>5650</v>
      </c>
      <c r="I129" s="732">
        <f t="shared" si="113"/>
        <v>5750</v>
      </c>
      <c r="J129" s="732">
        <f t="shared" si="113"/>
        <v>5849.9999999999927</v>
      </c>
      <c r="K129" s="732">
        <f t="shared" si="113"/>
        <v>5950</v>
      </c>
      <c r="L129" s="732">
        <f t="shared" si="113"/>
        <v>6050</v>
      </c>
      <c r="M129" s="732">
        <f t="shared" si="113"/>
        <v>6150</v>
      </c>
      <c r="N129" s="732">
        <f t="shared" si="113"/>
        <v>6250</v>
      </c>
      <c r="O129" s="732">
        <f t="shared" si="113"/>
        <v>6400</v>
      </c>
      <c r="P129" s="732">
        <f t="shared" si="113"/>
        <v>6550</v>
      </c>
      <c r="Q129" s="732">
        <f t="shared" si="113"/>
        <v>6700</v>
      </c>
      <c r="R129" s="732">
        <f t="shared" si="113"/>
        <v>6850</v>
      </c>
      <c r="S129" s="732">
        <f t="shared" si="113"/>
        <v>7000</v>
      </c>
      <c r="T129" s="732">
        <f t="shared" si="113"/>
        <v>7150</v>
      </c>
      <c r="U129" s="732">
        <f t="shared" si="113"/>
        <v>7300</v>
      </c>
      <c r="V129" s="732">
        <f t="shared" si="113"/>
        <v>7450</v>
      </c>
      <c r="W129" s="732">
        <f t="shared" si="113"/>
        <v>7600</v>
      </c>
      <c r="X129" s="732">
        <f t="shared" si="113"/>
        <v>7750</v>
      </c>
      <c r="Y129" s="732">
        <f t="shared" si="113"/>
        <v>7900</v>
      </c>
      <c r="Z129" s="732">
        <f t="shared" si="113"/>
        <v>8050</v>
      </c>
      <c r="AA129" s="732">
        <f t="shared" si="113"/>
        <v>8200</v>
      </c>
      <c r="AB129" s="732">
        <f t="shared" si="113"/>
        <v>8350</v>
      </c>
      <c r="AC129" s="732">
        <f t="shared" si="113"/>
        <v>8500</v>
      </c>
      <c r="AD129" s="732">
        <f t="shared" si="113"/>
        <v>8650</v>
      </c>
      <c r="AE129" s="732">
        <f t="shared" si="113"/>
        <v>8800</v>
      </c>
      <c r="AF129" s="732">
        <f t="shared" si="113"/>
        <v>9000</v>
      </c>
      <c r="AG129" s="732">
        <f t="shared" si="113"/>
        <v>9200</v>
      </c>
      <c r="AH129" s="732">
        <f t="shared" si="113"/>
        <v>9400</v>
      </c>
      <c r="AI129" s="732">
        <f t="shared" si="113"/>
        <v>9600</v>
      </c>
    </row>
    <row r="130" spans="1:35" s="260" customFormat="1" ht="12.75" x14ac:dyDescent="0.2">
      <c r="A130" s="263" t="s">
        <v>68</v>
      </c>
      <c r="B130" s="748">
        <f t="shared" ref="B130:AI130" si="114">B66-B9</f>
        <v>0</v>
      </c>
      <c r="C130" s="748">
        <f t="shared" si="114"/>
        <v>0</v>
      </c>
      <c r="D130" s="748">
        <f t="shared" si="114"/>
        <v>195.29999999999563</v>
      </c>
      <c r="E130" s="748">
        <f t="shared" si="114"/>
        <v>199.0199999999968</v>
      </c>
      <c r="F130" s="748">
        <f t="shared" si="114"/>
        <v>202.73999999999796</v>
      </c>
      <c r="G130" s="732">
        <f t="shared" si="114"/>
        <v>206.4600000000064</v>
      </c>
      <c r="H130" s="732">
        <f t="shared" si="114"/>
        <v>210.18000000000029</v>
      </c>
      <c r="I130" s="732">
        <f t="shared" si="114"/>
        <v>213.89999999999418</v>
      </c>
      <c r="J130" s="732">
        <f t="shared" si="114"/>
        <v>217.62000000000262</v>
      </c>
      <c r="K130" s="732">
        <f t="shared" si="114"/>
        <v>221.34000000000378</v>
      </c>
      <c r="L130" s="732">
        <f t="shared" si="114"/>
        <v>225.06000000000495</v>
      </c>
      <c r="M130" s="732">
        <f t="shared" si="114"/>
        <v>228.77999999999884</v>
      </c>
      <c r="N130" s="732">
        <f t="shared" si="114"/>
        <v>232.5</v>
      </c>
      <c r="O130" s="732">
        <f t="shared" si="114"/>
        <v>238.08000000000175</v>
      </c>
      <c r="P130" s="732">
        <f t="shared" si="114"/>
        <v>243.65999999999622</v>
      </c>
      <c r="Q130" s="732">
        <f t="shared" si="114"/>
        <v>249.23999999999796</v>
      </c>
      <c r="R130" s="732">
        <f t="shared" si="114"/>
        <v>254.81999999999971</v>
      </c>
      <c r="S130" s="732">
        <f t="shared" si="114"/>
        <v>260.39999999999418</v>
      </c>
      <c r="T130" s="732">
        <f t="shared" si="114"/>
        <v>265.9800000000032</v>
      </c>
      <c r="U130" s="732">
        <f t="shared" si="114"/>
        <v>271.56000000000495</v>
      </c>
      <c r="V130" s="732">
        <f t="shared" si="114"/>
        <v>277.13999999999942</v>
      </c>
      <c r="W130" s="732">
        <f t="shared" si="114"/>
        <v>282.72000000000116</v>
      </c>
      <c r="X130" s="732">
        <f t="shared" si="114"/>
        <v>288.29999999999563</v>
      </c>
      <c r="Y130" s="732">
        <f t="shared" si="114"/>
        <v>293.8799999999901</v>
      </c>
      <c r="Z130" s="732">
        <f t="shared" si="114"/>
        <v>299.45999999999185</v>
      </c>
      <c r="AA130" s="732">
        <f t="shared" si="114"/>
        <v>305.04000000000815</v>
      </c>
      <c r="AB130" s="732">
        <f t="shared" si="114"/>
        <v>310.6200000000099</v>
      </c>
      <c r="AC130" s="732">
        <f t="shared" si="114"/>
        <v>316.19999999999709</v>
      </c>
      <c r="AD130" s="732">
        <f t="shared" si="114"/>
        <v>321.77999999999884</v>
      </c>
      <c r="AE130" s="732">
        <f t="shared" si="114"/>
        <v>327.36000000000058</v>
      </c>
      <c r="AF130" s="732">
        <f t="shared" si="114"/>
        <v>334.80000000000291</v>
      </c>
      <c r="AG130" s="732">
        <f t="shared" si="114"/>
        <v>342.23999999999069</v>
      </c>
      <c r="AH130" s="732">
        <f t="shared" si="114"/>
        <v>349.68000000000757</v>
      </c>
      <c r="AI130" s="732">
        <f t="shared" si="114"/>
        <v>357.1200000000099</v>
      </c>
    </row>
    <row r="131" spans="1:35" s="260" customFormat="1" ht="12.75" x14ac:dyDescent="0.2">
      <c r="A131" s="263" t="s">
        <v>69</v>
      </c>
      <c r="B131" s="748">
        <f t="shared" ref="B131:AI131" si="115">B67-B10</f>
        <v>0</v>
      </c>
      <c r="C131" s="748">
        <f t="shared" si="115"/>
        <v>0</v>
      </c>
      <c r="D131" s="748">
        <f t="shared" si="115"/>
        <v>620.2664999999979</v>
      </c>
      <c r="E131" s="748">
        <f t="shared" si="115"/>
        <v>632.08109999999942</v>
      </c>
      <c r="F131" s="748">
        <f t="shared" si="115"/>
        <v>643.8956999999973</v>
      </c>
      <c r="G131" s="732">
        <f t="shared" si="115"/>
        <v>655.71030000000246</v>
      </c>
      <c r="H131" s="732">
        <f t="shared" si="115"/>
        <v>667.52489999999671</v>
      </c>
      <c r="I131" s="732">
        <f t="shared" si="115"/>
        <v>679.33950000000186</v>
      </c>
      <c r="J131" s="732">
        <f t="shared" si="115"/>
        <v>691.15409999999974</v>
      </c>
      <c r="K131" s="732">
        <f t="shared" si="115"/>
        <v>702.96870000000126</v>
      </c>
      <c r="L131" s="732">
        <f t="shared" si="115"/>
        <v>714.78329999999914</v>
      </c>
      <c r="M131" s="732">
        <f t="shared" si="115"/>
        <v>726.59790000000066</v>
      </c>
      <c r="N131" s="732">
        <f t="shared" si="115"/>
        <v>738.41249999999854</v>
      </c>
      <c r="O131" s="732">
        <f t="shared" si="115"/>
        <v>756.134399999999</v>
      </c>
      <c r="P131" s="732">
        <f t="shared" si="115"/>
        <v>773.85629999999946</v>
      </c>
      <c r="Q131" s="732">
        <f t="shared" si="115"/>
        <v>791.57819999999629</v>
      </c>
      <c r="R131" s="732">
        <f t="shared" si="115"/>
        <v>809.30010000000038</v>
      </c>
      <c r="S131" s="732">
        <f t="shared" si="115"/>
        <v>827.02200000000084</v>
      </c>
      <c r="T131" s="732">
        <f t="shared" si="115"/>
        <v>844.7439000000013</v>
      </c>
      <c r="U131" s="732">
        <f t="shared" si="115"/>
        <v>862.46580000000176</v>
      </c>
      <c r="V131" s="732">
        <f t="shared" si="115"/>
        <v>880.18769999999859</v>
      </c>
      <c r="W131" s="732">
        <f t="shared" si="115"/>
        <v>897.90959999999905</v>
      </c>
      <c r="X131" s="732">
        <f t="shared" si="115"/>
        <v>915.63149999999951</v>
      </c>
      <c r="Y131" s="732">
        <f t="shared" si="115"/>
        <v>933.35339999999633</v>
      </c>
      <c r="Z131" s="732">
        <f t="shared" si="115"/>
        <v>951.07530000000042</v>
      </c>
      <c r="AA131" s="732">
        <f t="shared" si="115"/>
        <v>968.79719999999725</v>
      </c>
      <c r="AB131" s="732">
        <f t="shared" si="115"/>
        <v>986.51910000000134</v>
      </c>
      <c r="AC131" s="732">
        <f t="shared" si="115"/>
        <v>1004.2410000000018</v>
      </c>
      <c r="AD131" s="732">
        <f t="shared" si="115"/>
        <v>1021.9628999999986</v>
      </c>
      <c r="AE131" s="732">
        <f t="shared" si="115"/>
        <v>1039.6847999999991</v>
      </c>
      <c r="AF131" s="732">
        <f t="shared" si="115"/>
        <v>1063.3139999999985</v>
      </c>
      <c r="AG131" s="732">
        <f t="shared" si="115"/>
        <v>1086.9431999999942</v>
      </c>
      <c r="AH131" s="732">
        <f t="shared" si="115"/>
        <v>1110.5724000000046</v>
      </c>
      <c r="AI131" s="732">
        <f t="shared" si="115"/>
        <v>1134.2016000000003</v>
      </c>
    </row>
    <row r="132" spans="1:35" s="260" customFormat="1" ht="12.75" x14ac:dyDescent="0.2">
      <c r="A132" s="263" t="s">
        <v>70</v>
      </c>
      <c r="B132" s="748">
        <f t="shared" ref="B132:AI132" si="116">B68-B11</f>
        <v>0</v>
      </c>
      <c r="C132" s="748">
        <f t="shared" si="116"/>
        <v>0</v>
      </c>
      <c r="D132" s="748">
        <f t="shared" si="116"/>
        <v>110.35499999999593</v>
      </c>
      <c r="E132" s="748">
        <f t="shared" si="116"/>
        <v>112.45699999999488</v>
      </c>
      <c r="F132" s="748">
        <f t="shared" si="116"/>
        <v>114.55899999999383</v>
      </c>
      <c r="G132" s="732">
        <f t="shared" si="116"/>
        <v>116.66100000000006</v>
      </c>
      <c r="H132" s="732">
        <f t="shared" si="116"/>
        <v>118.76299999999901</v>
      </c>
      <c r="I132" s="732">
        <f t="shared" si="116"/>
        <v>120.86499999999796</v>
      </c>
      <c r="J132" s="732">
        <f t="shared" si="116"/>
        <v>122.96700000000419</v>
      </c>
      <c r="K132" s="732">
        <f t="shared" si="116"/>
        <v>125.06900000000314</v>
      </c>
      <c r="L132" s="732">
        <f t="shared" si="116"/>
        <v>127.1710000000021</v>
      </c>
      <c r="M132" s="732">
        <f t="shared" si="116"/>
        <v>129.27300000000105</v>
      </c>
      <c r="N132" s="732">
        <f t="shared" si="116"/>
        <v>131.375</v>
      </c>
      <c r="O132" s="732">
        <f t="shared" si="116"/>
        <v>134.52799999999843</v>
      </c>
      <c r="P132" s="732">
        <f t="shared" si="116"/>
        <v>137.68099999999686</v>
      </c>
      <c r="Q132" s="732">
        <f t="shared" si="116"/>
        <v>140.83399999999529</v>
      </c>
      <c r="R132" s="732">
        <f t="shared" si="116"/>
        <v>143.98700000000099</v>
      </c>
      <c r="S132" s="732">
        <f t="shared" si="116"/>
        <v>147.13999999999214</v>
      </c>
      <c r="T132" s="732">
        <f t="shared" si="116"/>
        <v>150.29299999999785</v>
      </c>
      <c r="U132" s="732">
        <f t="shared" si="116"/>
        <v>153.44599999999627</v>
      </c>
      <c r="V132" s="732">
        <f t="shared" si="116"/>
        <v>156.5989999999947</v>
      </c>
      <c r="W132" s="732">
        <f t="shared" si="116"/>
        <v>159.75200000000041</v>
      </c>
      <c r="X132" s="732">
        <f t="shared" si="116"/>
        <v>162.90499999999884</v>
      </c>
      <c r="Y132" s="732">
        <f t="shared" si="116"/>
        <v>166.05799999999726</v>
      </c>
      <c r="Z132" s="732">
        <f t="shared" si="116"/>
        <v>169.21099999999569</v>
      </c>
      <c r="AA132" s="732">
        <f t="shared" si="116"/>
        <v>172.3640000000014</v>
      </c>
      <c r="AB132" s="732">
        <f t="shared" si="116"/>
        <v>175.5170000000071</v>
      </c>
      <c r="AC132" s="732">
        <f t="shared" si="116"/>
        <v>178.66999999999825</v>
      </c>
      <c r="AD132" s="732">
        <f t="shared" si="116"/>
        <v>181.82300000000396</v>
      </c>
      <c r="AE132" s="732">
        <f t="shared" si="116"/>
        <v>184.97599999999511</v>
      </c>
      <c r="AF132" s="732">
        <f t="shared" si="116"/>
        <v>189.17999999999302</v>
      </c>
      <c r="AG132" s="732">
        <f t="shared" si="116"/>
        <v>193.38399999999092</v>
      </c>
      <c r="AH132" s="732">
        <f t="shared" si="116"/>
        <v>197.58800000000338</v>
      </c>
      <c r="AI132" s="732">
        <f t="shared" si="116"/>
        <v>201.79200000000128</v>
      </c>
    </row>
    <row r="133" spans="1:35" s="260" customFormat="1" ht="12.75" x14ac:dyDescent="0.2">
      <c r="A133" s="274" t="s">
        <v>621</v>
      </c>
      <c r="B133" s="748">
        <f t="shared" ref="B133:AI133" si="117">B69-B12</f>
        <v>0</v>
      </c>
      <c r="C133" s="748">
        <f t="shared" si="117"/>
        <v>0</v>
      </c>
      <c r="D133" s="748">
        <f t="shared" si="117"/>
        <v>960.59249999999975</v>
      </c>
      <c r="E133" s="748">
        <f t="shared" si="117"/>
        <v>978.88950000000023</v>
      </c>
      <c r="F133" s="748">
        <f t="shared" si="117"/>
        <v>997.1864999999998</v>
      </c>
      <c r="G133" s="732">
        <f t="shared" si="117"/>
        <v>1015.4834999999994</v>
      </c>
      <c r="H133" s="732">
        <f t="shared" si="117"/>
        <v>1033.7805000000008</v>
      </c>
      <c r="I133" s="732">
        <f t="shared" si="117"/>
        <v>1052.0775000000012</v>
      </c>
      <c r="J133" s="732">
        <f t="shared" si="117"/>
        <v>1070.3745000000017</v>
      </c>
      <c r="K133" s="732">
        <f t="shared" si="117"/>
        <v>1088.6715000000004</v>
      </c>
      <c r="L133" s="732">
        <f t="shared" si="117"/>
        <v>1106.9685000000009</v>
      </c>
      <c r="M133" s="732">
        <f t="shared" si="117"/>
        <v>1125.2655000000013</v>
      </c>
      <c r="N133" s="732">
        <f t="shared" si="117"/>
        <v>1143.5625</v>
      </c>
      <c r="O133" s="732">
        <f t="shared" si="117"/>
        <v>1171.0079999999998</v>
      </c>
      <c r="P133" s="732">
        <f t="shared" si="117"/>
        <v>1198.4534999999996</v>
      </c>
      <c r="Q133" s="732">
        <f t="shared" si="117"/>
        <v>1225.8989999999994</v>
      </c>
      <c r="R133" s="732">
        <f t="shared" si="117"/>
        <v>1253.3444999999992</v>
      </c>
      <c r="S133" s="732">
        <f t="shared" si="117"/>
        <v>1280.7900000000009</v>
      </c>
      <c r="T133" s="732">
        <f t="shared" si="117"/>
        <v>1308.2355000000007</v>
      </c>
      <c r="U133" s="732">
        <f t="shared" si="117"/>
        <v>1335.6810000000005</v>
      </c>
      <c r="V133" s="732">
        <f t="shared" si="117"/>
        <v>1363.1265000000003</v>
      </c>
      <c r="W133" s="732">
        <f t="shared" si="117"/>
        <v>1390.5720000000001</v>
      </c>
      <c r="X133" s="732">
        <f t="shared" si="117"/>
        <v>1418.0174999999999</v>
      </c>
      <c r="Y133" s="732">
        <f t="shared" si="117"/>
        <v>1445.4629999999997</v>
      </c>
      <c r="Z133" s="732">
        <f t="shared" si="117"/>
        <v>1472.9084999999995</v>
      </c>
      <c r="AA133" s="732">
        <f t="shared" si="117"/>
        <v>1500.3540000000012</v>
      </c>
      <c r="AB133" s="732">
        <f t="shared" si="117"/>
        <v>1527.799500000001</v>
      </c>
      <c r="AC133" s="732">
        <f t="shared" si="117"/>
        <v>1555.2450000000008</v>
      </c>
      <c r="AD133" s="732">
        <f t="shared" si="117"/>
        <v>1582.6905000000006</v>
      </c>
      <c r="AE133" s="732">
        <f t="shared" si="117"/>
        <v>1610.1360000000004</v>
      </c>
      <c r="AF133" s="732">
        <f t="shared" si="117"/>
        <v>1646.7299999999996</v>
      </c>
      <c r="AG133" s="732">
        <f t="shared" si="117"/>
        <v>1683.3240000000005</v>
      </c>
      <c r="AH133" s="732">
        <f t="shared" si="117"/>
        <v>1719.9180000000015</v>
      </c>
      <c r="AI133" s="732">
        <f t="shared" si="117"/>
        <v>1756.5120000000006</v>
      </c>
    </row>
    <row r="134" spans="1:35" s="203" customFormat="1" ht="12.75" x14ac:dyDescent="0.2">
      <c r="A134" s="264" t="s">
        <v>71</v>
      </c>
      <c r="B134" s="869">
        <f t="shared" ref="B134:AI134" si="118">B70-B13</f>
        <v>0</v>
      </c>
      <c r="C134" s="869">
        <f t="shared" si="118"/>
        <v>0</v>
      </c>
      <c r="D134" s="869">
        <f t="shared" si="118"/>
        <v>5173.5705000000016</v>
      </c>
      <c r="E134" s="869">
        <f t="shared" si="118"/>
        <v>5272.1147000000055</v>
      </c>
      <c r="F134" s="869">
        <f t="shared" si="118"/>
        <v>5370.6588999999803</v>
      </c>
      <c r="G134" s="747">
        <f t="shared" si="118"/>
        <v>5469.2030999999843</v>
      </c>
      <c r="H134" s="747">
        <f t="shared" si="118"/>
        <v>5567.7472999999882</v>
      </c>
      <c r="I134" s="747">
        <f t="shared" si="118"/>
        <v>5666.2914999999921</v>
      </c>
      <c r="J134" s="747">
        <f t="shared" si="118"/>
        <v>5764.8357000000542</v>
      </c>
      <c r="K134" s="747">
        <f t="shared" si="118"/>
        <v>5863.3798999999708</v>
      </c>
      <c r="L134" s="747">
        <f t="shared" si="118"/>
        <v>5961.9241000000329</v>
      </c>
      <c r="M134" s="747">
        <f t="shared" si="118"/>
        <v>6060.4683000000077</v>
      </c>
      <c r="N134" s="747">
        <f t="shared" si="118"/>
        <v>6159.0124999999825</v>
      </c>
      <c r="O134" s="747">
        <f t="shared" si="118"/>
        <v>6306.8287999999884</v>
      </c>
      <c r="P134" s="747">
        <f t="shared" si="118"/>
        <v>6454.6450999999943</v>
      </c>
      <c r="Q134" s="747">
        <f t="shared" si="118"/>
        <v>6602.461399999971</v>
      </c>
      <c r="R134" s="747">
        <f t="shared" si="118"/>
        <v>6750.2776999999769</v>
      </c>
      <c r="S134" s="747">
        <f t="shared" si="118"/>
        <v>6898.0940000000119</v>
      </c>
      <c r="T134" s="747">
        <f t="shared" si="118"/>
        <v>7045.9103000000177</v>
      </c>
      <c r="U134" s="747">
        <f t="shared" si="118"/>
        <v>7193.7265999999945</v>
      </c>
      <c r="V134" s="747">
        <f t="shared" si="118"/>
        <v>7341.5428999999713</v>
      </c>
      <c r="W134" s="747">
        <f t="shared" si="118"/>
        <v>7489.3592000000062</v>
      </c>
      <c r="X134" s="747">
        <f t="shared" si="118"/>
        <v>7637.1755000000121</v>
      </c>
      <c r="Y134" s="747">
        <f t="shared" si="118"/>
        <v>7784.9917999999598</v>
      </c>
      <c r="Z134" s="747">
        <f t="shared" si="118"/>
        <v>7932.8080999999656</v>
      </c>
      <c r="AA134" s="747">
        <f t="shared" si="118"/>
        <v>8080.6243999999715</v>
      </c>
      <c r="AB134" s="747">
        <f t="shared" si="118"/>
        <v>8228.4407000000356</v>
      </c>
      <c r="AC134" s="747">
        <f t="shared" si="118"/>
        <v>8376.2570000000414</v>
      </c>
      <c r="AD134" s="747">
        <f t="shared" si="118"/>
        <v>8524.0732999999891</v>
      </c>
      <c r="AE134" s="747">
        <f t="shared" si="118"/>
        <v>8671.889599999995</v>
      </c>
      <c r="AF134" s="747">
        <f t="shared" si="118"/>
        <v>8868.9779999999446</v>
      </c>
      <c r="AG134" s="747">
        <f t="shared" si="118"/>
        <v>9066.0663999999524</v>
      </c>
      <c r="AH134" s="747">
        <f t="shared" si="118"/>
        <v>9263.1548000000184</v>
      </c>
      <c r="AI134" s="747">
        <f t="shared" si="118"/>
        <v>9460.2432000000263</v>
      </c>
    </row>
    <row r="135" spans="1:35" s="260" customFormat="1" ht="12.75" x14ac:dyDescent="0.2">
      <c r="A135" s="262" t="s">
        <v>72</v>
      </c>
      <c r="B135" s="748">
        <f t="shared" ref="B135:AI135" si="119">B71-B14</f>
        <v>0</v>
      </c>
      <c r="C135" s="748">
        <f t="shared" si="119"/>
        <v>0</v>
      </c>
      <c r="D135" s="748">
        <f t="shared" si="119"/>
        <v>2681.9729999999981</v>
      </c>
      <c r="E135" s="748">
        <f t="shared" si="119"/>
        <v>2733.0581999999995</v>
      </c>
      <c r="F135" s="748">
        <f t="shared" si="119"/>
        <v>2784.1434000000008</v>
      </c>
      <c r="G135" s="732">
        <f t="shared" si="119"/>
        <v>2835.2285999999949</v>
      </c>
      <c r="H135" s="732">
        <f t="shared" si="119"/>
        <v>2886.3137999999999</v>
      </c>
      <c r="I135" s="732">
        <f t="shared" si="119"/>
        <v>2937.3990000000013</v>
      </c>
      <c r="J135" s="732">
        <f t="shared" si="119"/>
        <v>2988.484199999999</v>
      </c>
      <c r="K135" s="732">
        <f t="shared" si="119"/>
        <v>3039.5694000000003</v>
      </c>
      <c r="L135" s="732">
        <f t="shared" si="119"/>
        <v>3090.6546000000017</v>
      </c>
      <c r="M135" s="732">
        <f t="shared" si="119"/>
        <v>3141.7397999999957</v>
      </c>
      <c r="N135" s="732">
        <f t="shared" si="119"/>
        <v>3192.8249999999971</v>
      </c>
      <c r="O135" s="732">
        <f t="shared" si="119"/>
        <v>3269.4527999999991</v>
      </c>
      <c r="P135" s="732">
        <f t="shared" si="119"/>
        <v>3346.0805999999939</v>
      </c>
      <c r="Q135" s="732">
        <f t="shared" si="119"/>
        <v>3422.7083999999959</v>
      </c>
      <c r="R135" s="732">
        <f t="shared" si="119"/>
        <v>3499.3361999999979</v>
      </c>
      <c r="S135" s="732">
        <f t="shared" si="119"/>
        <v>3575.9639999999999</v>
      </c>
      <c r="T135" s="732">
        <f t="shared" si="119"/>
        <v>3652.591800000002</v>
      </c>
      <c r="U135" s="732">
        <f t="shared" si="119"/>
        <v>3729.2195999999967</v>
      </c>
      <c r="V135" s="732">
        <f t="shared" si="119"/>
        <v>3805.8473999999987</v>
      </c>
      <c r="W135" s="732">
        <f t="shared" si="119"/>
        <v>3882.4751999999935</v>
      </c>
      <c r="X135" s="732">
        <f t="shared" si="119"/>
        <v>3959.1029999999955</v>
      </c>
      <c r="Y135" s="732">
        <f t="shared" si="119"/>
        <v>4035.7307999999975</v>
      </c>
      <c r="Z135" s="732">
        <f t="shared" si="119"/>
        <v>4112.3585999999923</v>
      </c>
      <c r="AA135" s="732">
        <f t="shared" si="119"/>
        <v>4188.9864000000016</v>
      </c>
      <c r="AB135" s="732">
        <f t="shared" si="119"/>
        <v>4265.6141999999963</v>
      </c>
      <c r="AC135" s="732">
        <f t="shared" si="119"/>
        <v>4342.2419999999984</v>
      </c>
      <c r="AD135" s="732">
        <f t="shared" si="119"/>
        <v>4418.8698000000004</v>
      </c>
      <c r="AE135" s="732">
        <f t="shared" si="119"/>
        <v>4495.4975999999951</v>
      </c>
      <c r="AF135" s="732">
        <f t="shared" si="119"/>
        <v>4597.6679999999978</v>
      </c>
      <c r="AG135" s="732">
        <f t="shared" si="119"/>
        <v>4699.8383999999933</v>
      </c>
      <c r="AH135" s="732">
        <f t="shared" si="119"/>
        <v>4802.0088000000032</v>
      </c>
      <c r="AI135" s="732">
        <f t="shared" si="119"/>
        <v>4904.1791999999987</v>
      </c>
    </row>
    <row r="136" spans="1:35" s="260" customFormat="1" ht="12.75" x14ac:dyDescent="0.2">
      <c r="A136" s="263" t="s">
        <v>73</v>
      </c>
      <c r="B136" s="748">
        <f t="shared" ref="B136:AI136" si="120">B72-B15</f>
        <v>0</v>
      </c>
      <c r="C136" s="748">
        <f t="shared" si="120"/>
        <v>0</v>
      </c>
      <c r="D136" s="748">
        <f t="shared" si="120"/>
        <v>929.25</v>
      </c>
      <c r="E136" s="748">
        <f t="shared" si="120"/>
        <v>946.94999999999709</v>
      </c>
      <c r="F136" s="748">
        <f t="shared" si="120"/>
        <v>964.64999999999418</v>
      </c>
      <c r="G136" s="732">
        <f t="shared" si="120"/>
        <v>982.34999999999127</v>
      </c>
      <c r="H136" s="732">
        <f t="shared" si="120"/>
        <v>1000.0500000000029</v>
      </c>
      <c r="I136" s="732">
        <f t="shared" si="120"/>
        <v>1017.75</v>
      </c>
      <c r="J136" s="732">
        <f t="shared" si="120"/>
        <v>1035.4500000000116</v>
      </c>
      <c r="K136" s="732">
        <f t="shared" si="120"/>
        <v>1053.1500000000087</v>
      </c>
      <c r="L136" s="732">
        <f t="shared" si="120"/>
        <v>1070.8500000000058</v>
      </c>
      <c r="M136" s="732">
        <f t="shared" si="120"/>
        <v>1088.5500000000029</v>
      </c>
      <c r="N136" s="732">
        <f t="shared" si="120"/>
        <v>1106.25</v>
      </c>
      <c r="O136" s="732">
        <f t="shared" si="120"/>
        <v>1132.8000000000029</v>
      </c>
      <c r="P136" s="732">
        <f t="shared" si="120"/>
        <v>1159.3499999999913</v>
      </c>
      <c r="Q136" s="732">
        <f t="shared" si="120"/>
        <v>1185.8999999999942</v>
      </c>
      <c r="R136" s="732">
        <f t="shared" si="120"/>
        <v>1212.4499999999971</v>
      </c>
      <c r="S136" s="732">
        <f t="shared" si="120"/>
        <v>1239</v>
      </c>
      <c r="T136" s="732">
        <f t="shared" si="120"/>
        <v>1265.5500000000029</v>
      </c>
      <c r="U136" s="732">
        <f t="shared" si="120"/>
        <v>1292.1000000000058</v>
      </c>
      <c r="V136" s="732">
        <f t="shared" si="120"/>
        <v>1318.6499999999942</v>
      </c>
      <c r="W136" s="732">
        <f t="shared" si="120"/>
        <v>1345.1999999999971</v>
      </c>
      <c r="X136" s="732">
        <f t="shared" si="120"/>
        <v>1371.75</v>
      </c>
      <c r="Y136" s="732">
        <f t="shared" si="120"/>
        <v>1398.2999999999884</v>
      </c>
      <c r="Z136" s="732">
        <f t="shared" si="120"/>
        <v>1424.8499999999913</v>
      </c>
      <c r="AA136" s="732">
        <f t="shared" si="120"/>
        <v>1451.4000000000087</v>
      </c>
      <c r="AB136" s="732">
        <f t="shared" si="120"/>
        <v>1477.9500000000116</v>
      </c>
      <c r="AC136" s="732">
        <f t="shared" si="120"/>
        <v>1504.5</v>
      </c>
      <c r="AD136" s="732">
        <f t="shared" si="120"/>
        <v>1531.0500000000029</v>
      </c>
      <c r="AE136" s="732">
        <f t="shared" si="120"/>
        <v>1557.6000000000058</v>
      </c>
      <c r="AF136" s="732">
        <f t="shared" si="120"/>
        <v>1593</v>
      </c>
      <c r="AG136" s="732">
        <f t="shared" si="120"/>
        <v>1628.3999999999942</v>
      </c>
      <c r="AH136" s="732">
        <f t="shared" si="120"/>
        <v>1663.8000000000029</v>
      </c>
      <c r="AI136" s="732">
        <f t="shared" si="120"/>
        <v>1699.2000000000116</v>
      </c>
    </row>
    <row r="137" spans="1:35" s="260" customFormat="1" ht="12.75" x14ac:dyDescent="0.2">
      <c r="A137" s="263" t="s">
        <v>74</v>
      </c>
      <c r="B137" s="748">
        <f t="shared" ref="B137:AI137" si="121">B73-B16</f>
        <v>0</v>
      </c>
      <c r="C137" s="748">
        <f t="shared" si="121"/>
        <v>0</v>
      </c>
      <c r="D137" s="748">
        <f t="shared" si="121"/>
        <v>515.61299999999983</v>
      </c>
      <c r="E137" s="748">
        <f t="shared" si="121"/>
        <v>525.43419999999992</v>
      </c>
      <c r="F137" s="748">
        <f t="shared" si="121"/>
        <v>535.25539999999978</v>
      </c>
      <c r="G137" s="732">
        <f t="shared" si="121"/>
        <v>545.07659999999987</v>
      </c>
      <c r="H137" s="732">
        <f t="shared" si="121"/>
        <v>554.89780000000019</v>
      </c>
      <c r="I137" s="732">
        <f t="shared" si="121"/>
        <v>564.71900000000005</v>
      </c>
      <c r="J137" s="732">
        <f t="shared" si="121"/>
        <v>574.54020000000014</v>
      </c>
      <c r="K137" s="732">
        <f t="shared" si="121"/>
        <v>584.3614</v>
      </c>
      <c r="L137" s="732">
        <f t="shared" si="121"/>
        <v>594.18260000000009</v>
      </c>
      <c r="M137" s="732">
        <f t="shared" si="121"/>
        <v>604.00379999999996</v>
      </c>
      <c r="N137" s="732">
        <f t="shared" si="121"/>
        <v>613.82499999999982</v>
      </c>
      <c r="O137" s="732">
        <f t="shared" si="121"/>
        <v>628.55679999999984</v>
      </c>
      <c r="P137" s="732">
        <f t="shared" si="121"/>
        <v>643.28859999999986</v>
      </c>
      <c r="Q137" s="732">
        <f t="shared" si="121"/>
        <v>658.02039999999988</v>
      </c>
      <c r="R137" s="732">
        <f t="shared" si="121"/>
        <v>672.7521999999999</v>
      </c>
      <c r="S137" s="732">
        <f t="shared" si="121"/>
        <v>687.48399999999992</v>
      </c>
      <c r="T137" s="732">
        <f t="shared" si="121"/>
        <v>702.21579999999994</v>
      </c>
      <c r="U137" s="732">
        <f t="shared" si="121"/>
        <v>716.94759999999997</v>
      </c>
      <c r="V137" s="732">
        <f t="shared" si="121"/>
        <v>731.67939999999999</v>
      </c>
      <c r="W137" s="732">
        <f t="shared" si="121"/>
        <v>746.41120000000001</v>
      </c>
      <c r="X137" s="732">
        <f t="shared" si="121"/>
        <v>761.14300000000003</v>
      </c>
      <c r="Y137" s="732">
        <f t="shared" si="121"/>
        <v>775.8747999999996</v>
      </c>
      <c r="Z137" s="732">
        <f t="shared" si="121"/>
        <v>790.60659999999962</v>
      </c>
      <c r="AA137" s="732">
        <f t="shared" si="121"/>
        <v>805.33840000000009</v>
      </c>
      <c r="AB137" s="732">
        <f t="shared" si="121"/>
        <v>820.07020000000011</v>
      </c>
      <c r="AC137" s="732">
        <f t="shared" si="121"/>
        <v>834.80200000000013</v>
      </c>
      <c r="AD137" s="732">
        <f t="shared" si="121"/>
        <v>849.53380000000016</v>
      </c>
      <c r="AE137" s="732">
        <f t="shared" si="121"/>
        <v>864.26559999999972</v>
      </c>
      <c r="AF137" s="732">
        <f t="shared" si="121"/>
        <v>883.9079999999999</v>
      </c>
      <c r="AG137" s="732">
        <f t="shared" si="121"/>
        <v>903.55039999999963</v>
      </c>
      <c r="AH137" s="732">
        <f t="shared" si="121"/>
        <v>923.19280000000026</v>
      </c>
      <c r="AI137" s="732">
        <f t="shared" si="121"/>
        <v>942.83519999999999</v>
      </c>
    </row>
    <row r="138" spans="1:35" s="260" customFormat="1" ht="12.75" x14ac:dyDescent="0.2">
      <c r="A138" s="263" t="s">
        <v>75</v>
      </c>
      <c r="B138" s="748">
        <f t="shared" ref="B138:AI138" si="122">B74-B17</f>
        <v>0</v>
      </c>
      <c r="C138" s="748">
        <f t="shared" si="122"/>
        <v>0</v>
      </c>
      <c r="D138" s="748">
        <f t="shared" si="122"/>
        <v>400.57499999999709</v>
      </c>
      <c r="E138" s="748">
        <f t="shared" si="122"/>
        <v>408.20500000000175</v>
      </c>
      <c r="F138" s="748">
        <f t="shared" si="122"/>
        <v>415.83499999999185</v>
      </c>
      <c r="G138" s="732">
        <f t="shared" si="122"/>
        <v>423.46500000001106</v>
      </c>
      <c r="H138" s="732">
        <f t="shared" si="122"/>
        <v>431.09499999998661</v>
      </c>
      <c r="I138" s="732">
        <f t="shared" si="122"/>
        <v>438.72500000000582</v>
      </c>
      <c r="J138" s="732">
        <f t="shared" si="122"/>
        <v>446.35500000001048</v>
      </c>
      <c r="K138" s="732">
        <f t="shared" si="122"/>
        <v>453.98500000000058</v>
      </c>
      <c r="L138" s="732">
        <f t="shared" si="122"/>
        <v>461.61500000000524</v>
      </c>
      <c r="M138" s="732">
        <f t="shared" si="122"/>
        <v>469.24499999999534</v>
      </c>
      <c r="N138" s="732">
        <f t="shared" si="122"/>
        <v>476.875</v>
      </c>
      <c r="O138" s="732">
        <f t="shared" si="122"/>
        <v>488.31999999999243</v>
      </c>
      <c r="P138" s="732">
        <f t="shared" si="122"/>
        <v>499.76499999999942</v>
      </c>
      <c r="Q138" s="732">
        <f t="shared" si="122"/>
        <v>511.20999999999185</v>
      </c>
      <c r="R138" s="732">
        <f t="shared" si="122"/>
        <v>522.65500000001339</v>
      </c>
      <c r="S138" s="732">
        <f t="shared" si="122"/>
        <v>534.10000000000582</v>
      </c>
      <c r="T138" s="732">
        <f t="shared" si="122"/>
        <v>545.54499999999825</v>
      </c>
      <c r="U138" s="732">
        <f t="shared" si="122"/>
        <v>556.99000000000524</v>
      </c>
      <c r="V138" s="732">
        <f t="shared" si="122"/>
        <v>568.43499999999767</v>
      </c>
      <c r="W138" s="732">
        <f t="shared" si="122"/>
        <v>579.88000000000466</v>
      </c>
      <c r="X138" s="732">
        <f t="shared" si="122"/>
        <v>591.32499999999709</v>
      </c>
      <c r="Y138" s="732">
        <f t="shared" si="122"/>
        <v>602.76999999998952</v>
      </c>
      <c r="Z138" s="732">
        <f t="shared" si="122"/>
        <v>614.21500000001106</v>
      </c>
      <c r="AA138" s="732">
        <f t="shared" si="122"/>
        <v>625.65999999998894</v>
      </c>
      <c r="AB138" s="732">
        <f t="shared" si="122"/>
        <v>637.10500000001048</v>
      </c>
      <c r="AC138" s="732">
        <f t="shared" si="122"/>
        <v>648.55000000001746</v>
      </c>
      <c r="AD138" s="732">
        <f t="shared" si="122"/>
        <v>659.99499999999534</v>
      </c>
      <c r="AE138" s="732">
        <f t="shared" si="122"/>
        <v>671.44000000000233</v>
      </c>
      <c r="AF138" s="732">
        <f t="shared" si="122"/>
        <v>686.69999999998254</v>
      </c>
      <c r="AG138" s="732">
        <f t="shared" si="122"/>
        <v>701.95999999999185</v>
      </c>
      <c r="AH138" s="732">
        <f t="shared" si="122"/>
        <v>717.22000000000116</v>
      </c>
      <c r="AI138" s="732">
        <f t="shared" si="122"/>
        <v>732.48000000001048</v>
      </c>
    </row>
    <row r="139" spans="1:35" s="260" customFormat="1" ht="12.75" x14ac:dyDescent="0.2">
      <c r="A139" s="274" t="s">
        <v>622</v>
      </c>
      <c r="B139" s="748">
        <f t="shared" ref="B139:AI139" si="123">B75-B18</f>
        <v>0</v>
      </c>
      <c r="C139" s="748">
        <f t="shared" si="123"/>
        <v>0</v>
      </c>
      <c r="D139" s="748">
        <f t="shared" si="123"/>
        <v>646.15949999999975</v>
      </c>
      <c r="E139" s="748">
        <f t="shared" si="123"/>
        <v>658.4672999999998</v>
      </c>
      <c r="F139" s="748">
        <f t="shared" si="123"/>
        <v>670.77510000000029</v>
      </c>
      <c r="G139" s="732">
        <f t="shared" si="123"/>
        <v>683.08289999999988</v>
      </c>
      <c r="H139" s="732">
        <f t="shared" si="123"/>
        <v>695.39069999999947</v>
      </c>
      <c r="I139" s="732">
        <f t="shared" si="123"/>
        <v>707.69849999999951</v>
      </c>
      <c r="J139" s="732">
        <f t="shared" si="123"/>
        <v>720.00630000000001</v>
      </c>
      <c r="K139" s="732">
        <f t="shared" si="123"/>
        <v>732.31410000000005</v>
      </c>
      <c r="L139" s="732">
        <f t="shared" si="123"/>
        <v>744.6219000000001</v>
      </c>
      <c r="M139" s="732">
        <f t="shared" si="123"/>
        <v>756.92969999999968</v>
      </c>
      <c r="N139" s="732">
        <f t="shared" si="123"/>
        <v>769.23749999999973</v>
      </c>
      <c r="O139" s="732">
        <f t="shared" si="123"/>
        <v>787.69919999999956</v>
      </c>
      <c r="P139" s="732">
        <f t="shared" si="123"/>
        <v>806.16089999999986</v>
      </c>
      <c r="Q139" s="732">
        <f t="shared" si="123"/>
        <v>824.62260000000015</v>
      </c>
      <c r="R139" s="732">
        <f t="shared" si="123"/>
        <v>843.08429999999953</v>
      </c>
      <c r="S139" s="732">
        <f t="shared" si="123"/>
        <v>861.54599999999982</v>
      </c>
      <c r="T139" s="732">
        <f t="shared" si="123"/>
        <v>880.00770000000011</v>
      </c>
      <c r="U139" s="732">
        <f t="shared" si="123"/>
        <v>898.46939999999995</v>
      </c>
      <c r="V139" s="732">
        <f t="shared" si="123"/>
        <v>916.93109999999979</v>
      </c>
      <c r="W139" s="732">
        <f t="shared" si="123"/>
        <v>935.39279999999962</v>
      </c>
      <c r="X139" s="732">
        <f t="shared" si="123"/>
        <v>953.85449999999992</v>
      </c>
      <c r="Y139" s="732">
        <f t="shared" si="123"/>
        <v>972.31619999999975</v>
      </c>
      <c r="Z139" s="732">
        <f t="shared" si="123"/>
        <v>990.77789999999959</v>
      </c>
      <c r="AA139" s="732">
        <f t="shared" si="123"/>
        <v>1009.2395999999999</v>
      </c>
      <c r="AB139" s="732">
        <f t="shared" si="123"/>
        <v>1027.7013000000002</v>
      </c>
      <c r="AC139" s="732">
        <f t="shared" si="123"/>
        <v>1046.163</v>
      </c>
      <c r="AD139" s="732">
        <f t="shared" si="123"/>
        <v>1064.6246999999994</v>
      </c>
      <c r="AE139" s="732">
        <f t="shared" si="123"/>
        <v>1083.0864000000001</v>
      </c>
      <c r="AF139" s="732">
        <f t="shared" si="123"/>
        <v>1107.7019999999993</v>
      </c>
      <c r="AG139" s="732">
        <f t="shared" si="123"/>
        <v>1132.3175999999994</v>
      </c>
      <c r="AH139" s="732">
        <f t="shared" si="123"/>
        <v>1156.9332000000004</v>
      </c>
      <c r="AI139" s="732">
        <f t="shared" si="123"/>
        <v>1181.5487999999996</v>
      </c>
    </row>
    <row r="140" spans="1:35" s="260" customFormat="1" ht="12.75" x14ac:dyDescent="0.2">
      <c r="A140" s="264" t="s">
        <v>76</v>
      </c>
      <c r="B140" s="711">
        <f t="shared" ref="B140:AI140" si="124">B76-B19</f>
        <v>0</v>
      </c>
      <c r="C140" s="711">
        <f t="shared" si="124"/>
        <v>0</v>
      </c>
      <c r="D140" s="711">
        <f t="shared" si="124"/>
        <v>12310.084499999997</v>
      </c>
      <c r="E140" s="711">
        <f t="shared" si="124"/>
        <v>12544.562299999991</v>
      </c>
      <c r="F140" s="711">
        <f t="shared" si="124"/>
        <v>12779.040099999984</v>
      </c>
      <c r="G140" s="711">
        <f t="shared" si="124"/>
        <v>13013.517899999977</v>
      </c>
      <c r="H140" s="711">
        <f t="shared" si="124"/>
        <v>13247.995700000029</v>
      </c>
      <c r="I140" s="711">
        <f t="shared" si="124"/>
        <v>13482.473500000022</v>
      </c>
      <c r="J140" s="711">
        <f t="shared" si="124"/>
        <v>13716.951300000073</v>
      </c>
      <c r="K140" s="711">
        <f t="shared" si="124"/>
        <v>13951.42909999995</v>
      </c>
      <c r="L140" s="711">
        <f t="shared" si="124"/>
        <v>14185.90690000006</v>
      </c>
      <c r="M140" s="711">
        <f t="shared" si="124"/>
        <v>14420.384700000053</v>
      </c>
      <c r="N140" s="711">
        <f t="shared" si="124"/>
        <v>14654.862499999988</v>
      </c>
      <c r="O140" s="711">
        <f t="shared" si="124"/>
        <v>15006.579199999978</v>
      </c>
      <c r="P140" s="711">
        <f t="shared" si="124"/>
        <v>15358.295900000026</v>
      </c>
      <c r="Q140" s="711">
        <f t="shared" si="124"/>
        <v>15710.012599999958</v>
      </c>
      <c r="R140" s="711">
        <f t="shared" si="124"/>
        <v>16061.729300000006</v>
      </c>
      <c r="S140" s="711">
        <f t="shared" si="124"/>
        <v>16413.445999999996</v>
      </c>
      <c r="T140" s="711">
        <f t="shared" si="124"/>
        <v>16765.162700000044</v>
      </c>
      <c r="U140" s="711">
        <f t="shared" si="124"/>
        <v>17116.879399999976</v>
      </c>
      <c r="V140" s="711">
        <f t="shared" si="124"/>
        <v>17468.596099999966</v>
      </c>
      <c r="W140" s="711">
        <f t="shared" si="124"/>
        <v>17820.312800000014</v>
      </c>
      <c r="X140" s="711">
        <f t="shared" si="124"/>
        <v>18172.029499999946</v>
      </c>
      <c r="Y140" s="711">
        <f t="shared" si="124"/>
        <v>18523.746199999936</v>
      </c>
      <c r="Z140" s="711">
        <f t="shared" si="124"/>
        <v>18875.462899999926</v>
      </c>
      <c r="AA140" s="711">
        <f t="shared" si="124"/>
        <v>19227.179599999916</v>
      </c>
      <c r="AB140" s="711">
        <f t="shared" si="124"/>
        <v>19578.896300000139</v>
      </c>
      <c r="AC140" s="711">
        <f t="shared" si="124"/>
        <v>19930.613000000129</v>
      </c>
      <c r="AD140" s="711">
        <f t="shared" si="124"/>
        <v>20282.329700000002</v>
      </c>
      <c r="AE140" s="711">
        <f t="shared" si="124"/>
        <v>20634.046399999876</v>
      </c>
      <c r="AF140" s="711">
        <f t="shared" si="124"/>
        <v>21103.001999999862</v>
      </c>
      <c r="AG140" s="711">
        <f t="shared" si="124"/>
        <v>21571.957599999849</v>
      </c>
      <c r="AH140" s="711">
        <f t="shared" si="124"/>
        <v>22040.913200000068</v>
      </c>
      <c r="AI140" s="711">
        <f t="shared" si="124"/>
        <v>22509.868800000055</v>
      </c>
    </row>
    <row r="141" spans="1:35" s="260" customFormat="1" ht="12.75" x14ac:dyDescent="0.2">
      <c r="A141" s="265" t="s">
        <v>77</v>
      </c>
      <c r="B141" s="747">
        <f t="shared" ref="B141:AI141" si="125">B77-B20</f>
        <v>0</v>
      </c>
      <c r="C141" s="747">
        <f t="shared" si="125"/>
        <v>0</v>
      </c>
      <c r="D141" s="747">
        <f t="shared" si="125"/>
        <v>773.43000000000757</v>
      </c>
      <c r="E141" s="747">
        <f t="shared" si="125"/>
        <v>795.32000000000698</v>
      </c>
      <c r="F141" s="747">
        <f t="shared" si="125"/>
        <v>809.91000000000349</v>
      </c>
      <c r="G141" s="747">
        <f t="shared" si="125"/>
        <v>824.50000000001455</v>
      </c>
      <c r="H141" s="747">
        <f t="shared" si="125"/>
        <v>839.10000000002037</v>
      </c>
      <c r="I141" s="747">
        <f t="shared" si="125"/>
        <v>853.69000000000233</v>
      </c>
      <c r="J141" s="747">
        <f t="shared" si="125"/>
        <v>868.27999999999884</v>
      </c>
      <c r="K141" s="747">
        <f t="shared" si="125"/>
        <v>882.8799999999901</v>
      </c>
      <c r="L141" s="747">
        <f t="shared" si="125"/>
        <v>904.76999999998952</v>
      </c>
      <c r="M141" s="747">
        <f t="shared" si="125"/>
        <v>926.64999999999418</v>
      </c>
      <c r="N141" s="747">
        <f t="shared" si="125"/>
        <v>948.5399999999936</v>
      </c>
      <c r="O141" s="747">
        <f t="shared" si="125"/>
        <v>970.42999999999302</v>
      </c>
      <c r="P141" s="747">
        <f t="shared" si="125"/>
        <v>992.31999999999243</v>
      </c>
      <c r="Q141" s="747">
        <f t="shared" si="125"/>
        <v>1014.2100000000064</v>
      </c>
      <c r="R141" s="747">
        <f t="shared" si="125"/>
        <v>1036.1000000000058</v>
      </c>
      <c r="S141" s="747">
        <f t="shared" si="125"/>
        <v>1057.9900000000052</v>
      </c>
      <c r="T141" s="747">
        <f t="shared" si="125"/>
        <v>1079.8800000000047</v>
      </c>
      <c r="U141" s="747">
        <f t="shared" si="125"/>
        <v>1101.7700000000186</v>
      </c>
      <c r="V141" s="747">
        <f t="shared" si="125"/>
        <v>1123.6600000000035</v>
      </c>
      <c r="W141" s="747">
        <f t="shared" si="125"/>
        <v>1145.5500000000029</v>
      </c>
      <c r="X141" s="747">
        <f t="shared" si="125"/>
        <v>1167.4399999999878</v>
      </c>
      <c r="Y141" s="747">
        <f t="shared" si="125"/>
        <v>1189.3300000000017</v>
      </c>
      <c r="Z141" s="747">
        <f t="shared" si="125"/>
        <v>1211.2200000000012</v>
      </c>
      <c r="AA141" s="747">
        <f t="shared" si="125"/>
        <v>1233.1100000000006</v>
      </c>
      <c r="AB141" s="747">
        <f t="shared" si="125"/>
        <v>1262.2900000000081</v>
      </c>
      <c r="AC141" s="747">
        <f t="shared" si="125"/>
        <v>1291.4800000000105</v>
      </c>
      <c r="AD141" s="747">
        <f t="shared" si="125"/>
        <v>1320.6699999999837</v>
      </c>
      <c r="AE141" s="747">
        <f t="shared" si="125"/>
        <v>1349.8499999999767</v>
      </c>
      <c r="AF141" s="747">
        <f t="shared" si="125"/>
        <v>1379.0400000000081</v>
      </c>
      <c r="AG141" s="747">
        <f t="shared" si="125"/>
        <v>1408.2200000000012</v>
      </c>
      <c r="AH141" s="747">
        <f t="shared" si="125"/>
        <v>1437.4100000000035</v>
      </c>
      <c r="AI141" s="747">
        <f t="shared" si="125"/>
        <v>1466.5899999999965</v>
      </c>
    </row>
    <row r="142" spans="1:35" s="260" customFormat="1" ht="12.75" x14ac:dyDescent="0.2">
      <c r="A142" s="263" t="s">
        <v>78</v>
      </c>
      <c r="B142" s="732">
        <f t="shared" ref="B142:AI142" si="126">B78-B21</f>
        <v>0</v>
      </c>
      <c r="C142" s="732">
        <f t="shared" si="126"/>
        <v>0</v>
      </c>
      <c r="D142" s="732">
        <f t="shared" si="126"/>
        <v>623.27999999999884</v>
      </c>
      <c r="E142" s="732">
        <f t="shared" si="126"/>
        <v>640.92000000000553</v>
      </c>
      <c r="F142" s="732">
        <f t="shared" si="126"/>
        <v>652.67999999999302</v>
      </c>
      <c r="G142" s="732">
        <f t="shared" si="126"/>
        <v>664.44000000000233</v>
      </c>
      <c r="H142" s="732">
        <f t="shared" si="126"/>
        <v>676.20000000001164</v>
      </c>
      <c r="I142" s="732">
        <f t="shared" si="126"/>
        <v>687.9600000000064</v>
      </c>
      <c r="J142" s="732">
        <f t="shared" si="126"/>
        <v>699.72000000000116</v>
      </c>
      <c r="K142" s="732">
        <f t="shared" si="126"/>
        <v>711.47999999999593</v>
      </c>
      <c r="L142" s="732">
        <f t="shared" si="126"/>
        <v>729.11999999999534</v>
      </c>
      <c r="M142" s="732">
        <f t="shared" si="126"/>
        <v>746.75999999999476</v>
      </c>
      <c r="N142" s="732">
        <f t="shared" si="126"/>
        <v>764.39999999999418</v>
      </c>
      <c r="O142" s="732">
        <f t="shared" si="126"/>
        <v>782.0399999999936</v>
      </c>
      <c r="P142" s="732">
        <f t="shared" si="126"/>
        <v>799.67999999999302</v>
      </c>
      <c r="Q142" s="732">
        <f t="shared" si="126"/>
        <v>817.32000000000698</v>
      </c>
      <c r="R142" s="732">
        <f t="shared" si="126"/>
        <v>834.9600000000064</v>
      </c>
      <c r="S142" s="732">
        <f t="shared" si="126"/>
        <v>852.60000000000582</v>
      </c>
      <c r="T142" s="732">
        <f t="shared" si="126"/>
        <v>870.24000000000524</v>
      </c>
      <c r="U142" s="732">
        <f t="shared" si="126"/>
        <v>887.88000000000466</v>
      </c>
      <c r="V142" s="732">
        <f t="shared" si="126"/>
        <v>905.52000000000407</v>
      </c>
      <c r="W142" s="732">
        <f t="shared" si="126"/>
        <v>923.16000000000349</v>
      </c>
      <c r="X142" s="732">
        <f t="shared" si="126"/>
        <v>940.79999999998836</v>
      </c>
      <c r="Y142" s="732">
        <f t="shared" si="126"/>
        <v>958.44000000000233</v>
      </c>
      <c r="Z142" s="732">
        <f t="shared" si="126"/>
        <v>976.08000000000175</v>
      </c>
      <c r="AA142" s="732">
        <f t="shared" si="126"/>
        <v>993.72000000000116</v>
      </c>
      <c r="AB142" s="732">
        <f t="shared" si="126"/>
        <v>1017.2400000000052</v>
      </c>
      <c r="AC142" s="732">
        <f t="shared" si="126"/>
        <v>1040.7599999999948</v>
      </c>
      <c r="AD142" s="732">
        <f t="shared" si="126"/>
        <v>1064.2799999999988</v>
      </c>
      <c r="AE142" s="732">
        <f t="shared" si="126"/>
        <v>1087.7999999999884</v>
      </c>
      <c r="AF142" s="732">
        <f t="shared" si="126"/>
        <v>1111.320000000007</v>
      </c>
      <c r="AG142" s="732">
        <f t="shared" si="126"/>
        <v>1134.8399999999965</v>
      </c>
      <c r="AH142" s="732">
        <f t="shared" si="126"/>
        <v>1158.3600000000006</v>
      </c>
      <c r="AI142" s="732">
        <f t="shared" si="126"/>
        <v>1181.8800000000047</v>
      </c>
    </row>
    <row r="143" spans="1:35" s="260" customFormat="1" ht="12.75" x14ac:dyDescent="0.2">
      <c r="A143" s="263" t="s">
        <v>79</v>
      </c>
      <c r="B143" s="732">
        <f t="shared" ref="B143:AI143" si="127">B79-B22</f>
        <v>0</v>
      </c>
      <c r="C143" s="732">
        <f t="shared" si="127"/>
        <v>0</v>
      </c>
      <c r="D143" s="732">
        <f t="shared" si="127"/>
        <v>150.14999999999964</v>
      </c>
      <c r="E143" s="732">
        <f t="shared" si="127"/>
        <v>154.40000000000146</v>
      </c>
      <c r="F143" s="732">
        <f t="shared" si="127"/>
        <v>157.23000000000138</v>
      </c>
      <c r="G143" s="732">
        <f t="shared" si="127"/>
        <v>160.06000000000131</v>
      </c>
      <c r="H143" s="732">
        <f t="shared" si="127"/>
        <v>162.89999999999782</v>
      </c>
      <c r="I143" s="732">
        <f t="shared" si="127"/>
        <v>165.72999999999956</v>
      </c>
      <c r="J143" s="732">
        <f t="shared" si="127"/>
        <v>168.55999999999767</v>
      </c>
      <c r="K143" s="732">
        <f t="shared" si="127"/>
        <v>171.40000000000146</v>
      </c>
      <c r="L143" s="732">
        <f t="shared" si="127"/>
        <v>175.64999999999782</v>
      </c>
      <c r="M143" s="732">
        <f t="shared" si="127"/>
        <v>179.89000000000306</v>
      </c>
      <c r="N143" s="732">
        <f t="shared" si="127"/>
        <v>184.13999999999942</v>
      </c>
      <c r="O143" s="732">
        <f t="shared" si="127"/>
        <v>188.38999999999942</v>
      </c>
      <c r="P143" s="732">
        <f t="shared" si="127"/>
        <v>192.63999999999942</v>
      </c>
      <c r="Q143" s="732">
        <f t="shared" si="127"/>
        <v>196.89000000000306</v>
      </c>
      <c r="R143" s="732">
        <f t="shared" si="127"/>
        <v>201.13999999999942</v>
      </c>
      <c r="S143" s="732">
        <f t="shared" si="127"/>
        <v>205.38999999999942</v>
      </c>
      <c r="T143" s="732">
        <f t="shared" si="127"/>
        <v>209.63999999999942</v>
      </c>
      <c r="U143" s="732">
        <f t="shared" si="127"/>
        <v>213.88999999999942</v>
      </c>
      <c r="V143" s="732">
        <f t="shared" si="127"/>
        <v>218.13999999999942</v>
      </c>
      <c r="W143" s="732">
        <f t="shared" si="127"/>
        <v>222.38999999999942</v>
      </c>
      <c r="X143" s="732">
        <f t="shared" si="127"/>
        <v>226.64000000000306</v>
      </c>
      <c r="Y143" s="732">
        <f t="shared" si="127"/>
        <v>230.88999999999942</v>
      </c>
      <c r="Z143" s="732">
        <f t="shared" si="127"/>
        <v>235.13999999999942</v>
      </c>
      <c r="AA143" s="732">
        <f t="shared" si="127"/>
        <v>239.38999999999942</v>
      </c>
      <c r="AB143" s="732">
        <f t="shared" si="127"/>
        <v>245.04999999999927</v>
      </c>
      <c r="AC143" s="732">
        <f t="shared" si="127"/>
        <v>250.72000000000116</v>
      </c>
      <c r="AD143" s="732">
        <f t="shared" si="127"/>
        <v>256.39000000000306</v>
      </c>
      <c r="AE143" s="732">
        <f t="shared" si="127"/>
        <v>262.05000000000291</v>
      </c>
      <c r="AF143" s="732">
        <f t="shared" si="127"/>
        <v>267.72000000000116</v>
      </c>
      <c r="AG143" s="732">
        <f t="shared" si="127"/>
        <v>273.38000000000102</v>
      </c>
      <c r="AH143" s="732">
        <f t="shared" si="127"/>
        <v>279.04999999999927</v>
      </c>
      <c r="AI143" s="732">
        <f t="shared" si="127"/>
        <v>284.70999999999913</v>
      </c>
    </row>
    <row r="144" spans="1:35" s="260" customFormat="1" ht="12.75" x14ac:dyDescent="0.2">
      <c r="A144" s="263" t="s">
        <v>80</v>
      </c>
      <c r="B144" s="732">
        <f t="shared" ref="B144:AI144" si="128">B80-B23</f>
        <v>0</v>
      </c>
      <c r="C144" s="732">
        <f t="shared" si="128"/>
        <v>0</v>
      </c>
      <c r="D144" s="732">
        <f t="shared" si="128"/>
        <v>0</v>
      </c>
      <c r="E144" s="732">
        <f t="shared" si="128"/>
        <v>0</v>
      </c>
      <c r="F144" s="732">
        <f t="shared" si="128"/>
        <v>0</v>
      </c>
      <c r="G144" s="732">
        <f t="shared" si="128"/>
        <v>0</v>
      </c>
      <c r="H144" s="732">
        <f t="shared" si="128"/>
        <v>0</v>
      </c>
      <c r="I144" s="732">
        <f t="shared" si="128"/>
        <v>0</v>
      </c>
      <c r="J144" s="732">
        <f t="shared" si="128"/>
        <v>0</v>
      </c>
      <c r="K144" s="732">
        <f t="shared" si="128"/>
        <v>0</v>
      </c>
      <c r="L144" s="732">
        <f t="shared" si="128"/>
        <v>0</v>
      </c>
      <c r="M144" s="732">
        <f t="shared" si="128"/>
        <v>0</v>
      </c>
      <c r="N144" s="732">
        <f t="shared" si="128"/>
        <v>0</v>
      </c>
      <c r="O144" s="732">
        <f t="shared" si="128"/>
        <v>0</v>
      </c>
      <c r="P144" s="732">
        <f t="shared" si="128"/>
        <v>0</v>
      </c>
      <c r="Q144" s="732">
        <f t="shared" si="128"/>
        <v>0</v>
      </c>
      <c r="R144" s="732">
        <f t="shared" si="128"/>
        <v>0</v>
      </c>
      <c r="S144" s="732">
        <f t="shared" si="128"/>
        <v>0</v>
      </c>
      <c r="T144" s="732">
        <f t="shared" si="128"/>
        <v>0</v>
      </c>
      <c r="U144" s="732">
        <f t="shared" si="128"/>
        <v>0</v>
      </c>
      <c r="V144" s="732">
        <f t="shared" si="128"/>
        <v>0</v>
      </c>
      <c r="W144" s="732">
        <f t="shared" si="128"/>
        <v>0</v>
      </c>
      <c r="X144" s="732">
        <f t="shared" si="128"/>
        <v>0</v>
      </c>
      <c r="Y144" s="732">
        <f t="shared" si="128"/>
        <v>0</v>
      </c>
      <c r="Z144" s="732">
        <f t="shared" si="128"/>
        <v>0</v>
      </c>
      <c r="AA144" s="732">
        <f t="shared" si="128"/>
        <v>0</v>
      </c>
      <c r="AB144" s="732">
        <f t="shared" si="128"/>
        <v>0</v>
      </c>
      <c r="AC144" s="732">
        <f t="shared" si="128"/>
        <v>0</v>
      </c>
      <c r="AD144" s="732">
        <f t="shared" si="128"/>
        <v>0</v>
      </c>
      <c r="AE144" s="732">
        <f t="shared" si="128"/>
        <v>0</v>
      </c>
      <c r="AF144" s="732">
        <f t="shared" si="128"/>
        <v>0</v>
      </c>
      <c r="AG144" s="732">
        <f t="shared" si="128"/>
        <v>0</v>
      </c>
      <c r="AH144" s="732">
        <f t="shared" si="128"/>
        <v>0</v>
      </c>
      <c r="AI144" s="732">
        <f t="shared" si="128"/>
        <v>0</v>
      </c>
    </row>
    <row r="145" spans="1:35" s="203" customFormat="1" ht="12.75" x14ac:dyDescent="0.2">
      <c r="A145" s="264" t="s">
        <v>81</v>
      </c>
      <c r="B145" s="747">
        <f t="shared" ref="B145:AI145" si="129">B81-B24</f>
        <v>0</v>
      </c>
      <c r="C145" s="747">
        <f t="shared" si="129"/>
        <v>0</v>
      </c>
      <c r="D145" s="747">
        <f t="shared" si="129"/>
        <v>63.139999999999418</v>
      </c>
      <c r="E145" s="747">
        <f t="shared" si="129"/>
        <v>64.920000000012806</v>
      </c>
      <c r="F145" s="747">
        <f t="shared" si="129"/>
        <v>66.119999999995343</v>
      </c>
      <c r="G145" s="747">
        <f t="shared" si="129"/>
        <v>67.310000000012224</v>
      </c>
      <c r="H145" s="747">
        <f t="shared" si="129"/>
        <v>68.500000000014552</v>
      </c>
      <c r="I145" s="747">
        <f t="shared" si="129"/>
        <v>69.690000000002328</v>
      </c>
      <c r="J145" s="747">
        <f t="shared" si="129"/>
        <v>70.880000000004657</v>
      </c>
      <c r="K145" s="747">
        <f t="shared" si="129"/>
        <v>72.070000000006985</v>
      </c>
      <c r="L145" s="747">
        <f t="shared" si="129"/>
        <v>73.860000000000582</v>
      </c>
      <c r="M145" s="747">
        <f t="shared" si="129"/>
        <v>75.649999999994179</v>
      </c>
      <c r="N145" s="747">
        <f t="shared" si="129"/>
        <v>77.429999999993015</v>
      </c>
      <c r="O145" s="747">
        <f t="shared" si="129"/>
        <v>79.220000000001164</v>
      </c>
      <c r="P145" s="747">
        <f t="shared" si="129"/>
        <v>81.010000000009313</v>
      </c>
      <c r="Q145" s="747">
        <f t="shared" si="129"/>
        <v>82.789999999993597</v>
      </c>
      <c r="R145" s="747">
        <f t="shared" si="129"/>
        <v>84.580000000001746</v>
      </c>
      <c r="S145" s="747">
        <f t="shared" si="129"/>
        <v>86.370000000009895</v>
      </c>
      <c r="T145" s="747">
        <f t="shared" si="129"/>
        <v>88.150000000008731</v>
      </c>
      <c r="U145" s="747">
        <f t="shared" si="129"/>
        <v>89.940000000002328</v>
      </c>
      <c r="V145" s="747">
        <f t="shared" si="129"/>
        <v>91.730000000010477</v>
      </c>
      <c r="W145" s="747">
        <f t="shared" si="129"/>
        <v>93.509999999994761</v>
      </c>
      <c r="X145" s="747">
        <f t="shared" si="129"/>
        <v>95.299999999988358</v>
      </c>
      <c r="Y145" s="747">
        <f t="shared" si="129"/>
        <v>97.090000000011059</v>
      </c>
      <c r="Z145" s="747">
        <f t="shared" si="129"/>
        <v>98.870000000009895</v>
      </c>
      <c r="AA145" s="747">
        <f t="shared" si="129"/>
        <v>100.66000000000349</v>
      </c>
      <c r="AB145" s="747">
        <f t="shared" si="129"/>
        <v>103.04000000000815</v>
      </c>
      <c r="AC145" s="747">
        <f t="shared" si="129"/>
        <v>105.42999999999302</v>
      </c>
      <c r="AD145" s="747">
        <f t="shared" si="129"/>
        <v>107.80999999996857</v>
      </c>
      <c r="AE145" s="747">
        <f t="shared" si="129"/>
        <v>110.18999999997322</v>
      </c>
      <c r="AF145" s="747">
        <f t="shared" si="129"/>
        <v>112.57000000000698</v>
      </c>
      <c r="AG145" s="747">
        <f t="shared" si="129"/>
        <v>114.95999999999185</v>
      </c>
      <c r="AH145" s="747">
        <f t="shared" si="129"/>
        <v>117.33999999999651</v>
      </c>
      <c r="AI145" s="747">
        <f t="shared" si="129"/>
        <v>119.72000000000116</v>
      </c>
    </row>
    <row r="146" spans="1:35" s="260" customFormat="1" ht="12.75" x14ac:dyDescent="0.2">
      <c r="A146" s="263" t="s">
        <v>82</v>
      </c>
      <c r="B146" s="732">
        <f t="shared" ref="B146:AI146" si="130">B82-B25</f>
        <v>0</v>
      </c>
      <c r="C146" s="732">
        <f t="shared" si="130"/>
        <v>0</v>
      </c>
      <c r="D146" s="732">
        <f t="shared" si="130"/>
        <v>50.879999999997381</v>
      </c>
      <c r="E146" s="732">
        <f t="shared" si="130"/>
        <v>52.319999999999709</v>
      </c>
      <c r="F146" s="732">
        <f t="shared" si="130"/>
        <v>53.279999999998836</v>
      </c>
      <c r="G146" s="732">
        <f t="shared" si="130"/>
        <v>54.240000000005239</v>
      </c>
      <c r="H146" s="732">
        <f t="shared" si="130"/>
        <v>55.200000000011642</v>
      </c>
      <c r="I146" s="732">
        <f t="shared" si="130"/>
        <v>56.160000000003492</v>
      </c>
      <c r="J146" s="732">
        <f t="shared" si="130"/>
        <v>57.120000000009895</v>
      </c>
      <c r="K146" s="732">
        <f t="shared" si="130"/>
        <v>58.080000000001746</v>
      </c>
      <c r="L146" s="732">
        <f t="shared" si="130"/>
        <v>59.520000000004075</v>
      </c>
      <c r="M146" s="732">
        <f t="shared" si="130"/>
        <v>60.959999999991851</v>
      </c>
      <c r="N146" s="732">
        <f t="shared" si="130"/>
        <v>62.399999999994179</v>
      </c>
      <c r="O146" s="732">
        <f t="shared" si="130"/>
        <v>63.839999999996508</v>
      </c>
      <c r="P146" s="732">
        <f t="shared" si="130"/>
        <v>65.279999999998836</v>
      </c>
      <c r="Q146" s="732">
        <f t="shared" si="130"/>
        <v>66.720000000001164</v>
      </c>
      <c r="R146" s="732">
        <f t="shared" si="130"/>
        <v>68.160000000003492</v>
      </c>
      <c r="S146" s="732">
        <f t="shared" si="130"/>
        <v>69.600000000005821</v>
      </c>
      <c r="T146" s="732">
        <f t="shared" si="130"/>
        <v>71.040000000008149</v>
      </c>
      <c r="U146" s="732">
        <f t="shared" si="130"/>
        <v>72.479999999995925</v>
      </c>
      <c r="V146" s="732">
        <f t="shared" si="130"/>
        <v>73.919999999998254</v>
      </c>
      <c r="W146" s="732">
        <f t="shared" si="130"/>
        <v>75.360000000000582</v>
      </c>
      <c r="X146" s="732">
        <f t="shared" si="130"/>
        <v>76.799999999988358</v>
      </c>
      <c r="Y146" s="732">
        <f t="shared" si="130"/>
        <v>78.240000000005239</v>
      </c>
      <c r="Z146" s="732">
        <f t="shared" si="130"/>
        <v>79.680000000007567</v>
      </c>
      <c r="AA146" s="732">
        <f t="shared" si="130"/>
        <v>81.120000000009895</v>
      </c>
      <c r="AB146" s="732">
        <f t="shared" si="130"/>
        <v>83.040000000008149</v>
      </c>
      <c r="AC146" s="732">
        <f t="shared" si="130"/>
        <v>84.959999999991851</v>
      </c>
      <c r="AD146" s="732">
        <f t="shared" si="130"/>
        <v>86.879999999990105</v>
      </c>
      <c r="AE146" s="732">
        <f t="shared" si="130"/>
        <v>88.799999999988358</v>
      </c>
      <c r="AF146" s="732">
        <f t="shared" si="130"/>
        <v>90.720000000001164</v>
      </c>
      <c r="AG146" s="732">
        <f t="shared" si="130"/>
        <v>92.639999999999418</v>
      </c>
      <c r="AH146" s="732">
        <f t="shared" si="130"/>
        <v>94.559999999997672</v>
      </c>
      <c r="AI146" s="732">
        <f t="shared" si="130"/>
        <v>96.479999999995925</v>
      </c>
    </row>
    <row r="147" spans="1:35" s="260" customFormat="1" ht="12.75" x14ac:dyDescent="0.2">
      <c r="A147" s="263" t="s">
        <v>83</v>
      </c>
      <c r="B147" s="732">
        <f t="shared" ref="B147:AI147" si="131">B83-B26</f>
        <v>0</v>
      </c>
      <c r="C147" s="732">
        <f t="shared" si="131"/>
        <v>0</v>
      </c>
      <c r="D147" s="732">
        <f t="shared" si="131"/>
        <v>12.260000000000218</v>
      </c>
      <c r="E147" s="732">
        <f t="shared" si="131"/>
        <v>12.600000000000364</v>
      </c>
      <c r="F147" s="732">
        <f t="shared" si="131"/>
        <v>12.840000000000146</v>
      </c>
      <c r="G147" s="732">
        <f t="shared" si="131"/>
        <v>13.069999999999709</v>
      </c>
      <c r="H147" s="732">
        <f t="shared" si="131"/>
        <v>13.299999999999272</v>
      </c>
      <c r="I147" s="732">
        <f t="shared" si="131"/>
        <v>13.529999999998836</v>
      </c>
      <c r="J147" s="732">
        <f t="shared" si="131"/>
        <v>13.759999999998399</v>
      </c>
      <c r="K147" s="732">
        <f t="shared" si="131"/>
        <v>13.990000000001601</v>
      </c>
      <c r="L147" s="732">
        <f t="shared" si="131"/>
        <v>14.340000000000146</v>
      </c>
      <c r="M147" s="732">
        <f t="shared" si="131"/>
        <v>14.690000000002328</v>
      </c>
      <c r="N147" s="732">
        <f t="shared" si="131"/>
        <v>15.030000000002474</v>
      </c>
      <c r="O147" s="732">
        <f t="shared" si="131"/>
        <v>15.380000000001019</v>
      </c>
      <c r="P147" s="732">
        <f t="shared" si="131"/>
        <v>15.729999999999563</v>
      </c>
      <c r="Q147" s="732">
        <f t="shared" si="131"/>
        <v>16.069999999999709</v>
      </c>
      <c r="R147" s="732">
        <f t="shared" si="131"/>
        <v>16.420000000001892</v>
      </c>
      <c r="S147" s="732">
        <f t="shared" si="131"/>
        <v>16.770000000000437</v>
      </c>
      <c r="T147" s="732">
        <f t="shared" si="131"/>
        <v>17.109999999996944</v>
      </c>
      <c r="U147" s="732">
        <f t="shared" si="131"/>
        <v>17.459999999999127</v>
      </c>
      <c r="V147" s="732">
        <f t="shared" si="131"/>
        <v>17.81000000000131</v>
      </c>
      <c r="W147" s="732">
        <f t="shared" si="131"/>
        <v>18.149999999997817</v>
      </c>
      <c r="X147" s="732">
        <f t="shared" si="131"/>
        <v>18.5</v>
      </c>
      <c r="Y147" s="732">
        <f t="shared" si="131"/>
        <v>18.850000000002183</v>
      </c>
      <c r="Z147" s="732">
        <f t="shared" si="131"/>
        <v>19.18999999999869</v>
      </c>
      <c r="AA147" s="732">
        <f t="shared" si="131"/>
        <v>19.539999999997235</v>
      </c>
      <c r="AB147" s="732">
        <f t="shared" si="131"/>
        <v>20</v>
      </c>
      <c r="AC147" s="732">
        <f t="shared" si="131"/>
        <v>20.470000000001164</v>
      </c>
      <c r="AD147" s="732">
        <f t="shared" si="131"/>
        <v>20.930000000000291</v>
      </c>
      <c r="AE147" s="732">
        <f t="shared" si="131"/>
        <v>21.390000000003056</v>
      </c>
      <c r="AF147" s="732">
        <f t="shared" si="131"/>
        <v>21.850000000002183</v>
      </c>
      <c r="AG147" s="732">
        <f t="shared" si="131"/>
        <v>22.319999999999709</v>
      </c>
      <c r="AH147" s="732">
        <f t="shared" si="131"/>
        <v>22.780000000002474</v>
      </c>
      <c r="AI147" s="732">
        <f t="shared" si="131"/>
        <v>23.240000000001601</v>
      </c>
    </row>
    <row r="148" spans="1:35" s="260" customFormat="1" ht="12.75" x14ac:dyDescent="0.2">
      <c r="A148" s="263" t="s">
        <v>84</v>
      </c>
      <c r="B148" s="732">
        <f t="shared" ref="B148:AI148" si="132">B84-B27</f>
        <v>0</v>
      </c>
      <c r="C148" s="732">
        <f t="shared" si="132"/>
        <v>0</v>
      </c>
      <c r="D148" s="732">
        <f t="shared" si="132"/>
        <v>0</v>
      </c>
      <c r="E148" s="732">
        <f t="shared" si="132"/>
        <v>0</v>
      </c>
      <c r="F148" s="732">
        <f t="shared" si="132"/>
        <v>0</v>
      </c>
      <c r="G148" s="732">
        <f t="shared" si="132"/>
        <v>0</v>
      </c>
      <c r="H148" s="732">
        <f t="shared" si="132"/>
        <v>0</v>
      </c>
      <c r="I148" s="732">
        <f t="shared" si="132"/>
        <v>0</v>
      </c>
      <c r="J148" s="732">
        <f t="shared" si="132"/>
        <v>0</v>
      </c>
      <c r="K148" s="732">
        <f t="shared" si="132"/>
        <v>0</v>
      </c>
      <c r="L148" s="732">
        <f t="shared" si="132"/>
        <v>0</v>
      </c>
      <c r="M148" s="732">
        <f t="shared" si="132"/>
        <v>0</v>
      </c>
      <c r="N148" s="732">
        <f t="shared" si="132"/>
        <v>0</v>
      </c>
      <c r="O148" s="732">
        <f t="shared" si="132"/>
        <v>0</v>
      </c>
      <c r="P148" s="732">
        <f t="shared" si="132"/>
        <v>0</v>
      </c>
      <c r="Q148" s="732">
        <f t="shared" si="132"/>
        <v>0</v>
      </c>
      <c r="R148" s="732">
        <f t="shared" si="132"/>
        <v>0</v>
      </c>
      <c r="S148" s="732">
        <f t="shared" si="132"/>
        <v>0</v>
      </c>
      <c r="T148" s="732">
        <f t="shared" si="132"/>
        <v>0</v>
      </c>
      <c r="U148" s="732">
        <f t="shared" si="132"/>
        <v>0</v>
      </c>
      <c r="V148" s="732">
        <f t="shared" si="132"/>
        <v>0</v>
      </c>
      <c r="W148" s="732">
        <f t="shared" si="132"/>
        <v>0</v>
      </c>
      <c r="X148" s="732">
        <f t="shared" si="132"/>
        <v>0</v>
      </c>
      <c r="Y148" s="732">
        <f t="shared" si="132"/>
        <v>0</v>
      </c>
      <c r="Z148" s="732">
        <f t="shared" si="132"/>
        <v>0</v>
      </c>
      <c r="AA148" s="732">
        <f t="shared" si="132"/>
        <v>0</v>
      </c>
      <c r="AB148" s="732">
        <f t="shared" si="132"/>
        <v>0</v>
      </c>
      <c r="AC148" s="732">
        <f t="shared" si="132"/>
        <v>0</v>
      </c>
      <c r="AD148" s="732">
        <f t="shared" si="132"/>
        <v>0</v>
      </c>
      <c r="AE148" s="732">
        <f t="shared" si="132"/>
        <v>0</v>
      </c>
      <c r="AF148" s="732">
        <f t="shared" si="132"/>
        <v>0</v>
      </c>
      <c r="AG148" s="732">
        <f t="shared" si="132"/>
        <v>0</v>
      </c>
      <c r="AH148" s="732">
        <f t="shared" si="132"/>
        <v>0</v>
      </c>
      <c r="AI148" s="732">
        <f t="shared" si="132"/>
        <v>0</v>
      </c>
    </row>
    <row r="149" spans="1:35" s="260" customFormat="1" ht="12.75" x14ac:dyDescent="0.2">
      <c r="A149" s="264" t="s">
        <v>85</v>
      </c>
      <c r="B149" s="747">
        <f t="shared" ref="B149:AI149" si="133">B85-B28</f>
        <v>0</v>
      </c>
      <c r="C149" s="747">
        <f t="shared" si="133"/>
        <v>0</v>
      </c>
      <c r="D149" s="747">
        <f t="shared" si="133"/>
        <v>836.57000000000698</v>
      </c>
      <c r="E149" s="747">
        <f t="shared" si="133"/>
        <v>860.24000000001979</v>
      </c>
      <c r="F149" s="747">
        <f t="shared" si="133"/>
        <v>876.02999999999884</v>
      </c>
      <c r="G149" s="747">
        <f t="shared" si="133"/>
        <v>891.81000000002678</v>
      </c>
      <c r="H149" s="747">
        <f t="shared" si="133"/>
        <v>907.60000000003492</v>
      </c>
      <c r="I149" s="747">
        <f t="shared" si="133"/>
        <v>923.38000000000466</v>
      </c>
      <c r="J149" s="747">
        <f t="shared" si="133"/>
        <v>939.16000000000349</v>
      </c>
      <c r="K149" s="747">
        <f t="shared" si="133"/>
        <v>954.95000000001164</v>
      </c>
      <c r="L149" s="747">
        <f t="shared" si="133"/>
        <v>978.63000000000466</v>
      </c>
      <c r="M149" s="747">
        <f t="shared" si="133"/>
        <v>1002.2999999999884</v>
      </c>
      <c r="N149" s="747">
        <f t="shared" si="133"/>
        <v>1025.9700000000012</v>
      </c>
      <c r="O149" s="747">
        <f t="shared" si="133"/>
        <v>1049.6499999999942</v>
      </c>
      <c r="P149" s="747">
        <f t="shared" si="133"/>
        <v>1073.3300000000163</v>
      </c>
      <c r="Q149" s="747">
        <f t="shared" si="133"/>
        <v>1097</v>
      </c>
      <c r="R149" s="747">
        <f t="shared" si="133"/>
        <v>1120.679999999993</v>
      </c>
      <c r="S149" s="747">
        <f t="shared" si="133"/>
        <v>1144.3600000000151</v>
      </c>
      <c r="T149" s="747">
        <f t="shared" si="133"/>
        <v>1168.0299999999988</v>
      </c>
      <c r="U149" s="747">
        <f t="shared" si="133"/>
        <v>1191.710000000021</v>
      </c>
      <c r="V149" s="747">
        <f t="shared" si="133"/>
        <v>1215.390000000014</v>
      </c>
      <c r="W149" s="747">
        <f t="shared" si="133"/>
        <v>1239.0599999999977</v>
      </c>
      <c r="X149" s="747">
        <f t="shared" si="133"/>
        <v>1262.7399999999907</v>
      </c>
      <c r="Y149" s="747">
        <f t="shared" si="133"/>
        <v>1286.4200000000128</v>
      </c>
      <c r="Z149" s="747">
        <f t="shared" si="133"/>
        <v>1310.0899999999965</v>
      </c>
      <c r="AA149" s="747">
        <f t="shared" si="133"/>
        <v>1333.7699999999895</v>
      </c>
      <c r="AB149" s="747">
        <f t="shared" si="133"/>
        <v>1365.3300000000163</v>
      </c>
      <c r="AC149" s="747">
        <f t="shared" si="133"/>
        <v>1396.9100000000326</v>
      </c>
      <c r="AD149" s="747">
        <f t="shared" si="133"/>
        <v>1428.4799999999814</v>
      </c>
      <c r="AE149" s="747">
        <f t="shared" si="133"/>
        <v>1460.039999999979</v>
      </c>
      <c r="AF149" s="747">
        <f t="shared" si="133"/>
        <v>1491.609999999986</v>
      </c>
      <c r="AG149" s="747">
        <f t="shared" si="133"/>
        <v>1523.179999999993</v>
      </c>
      <c r="AH149" s="747">
        <f t="shared" si="133"/>
        <v>1554.75</v>
      </c>
      <c r="AI149" s="747">
        <f t="shared" si="133"/>
        <v>1586.3099999999977</v>
      </c>
    </row>
    <row r="150" spans="1:35" s="260" customFormat="1" ht="28.5" customHeight="1" x14ac:dyDescent="0.2">
      <c r="A150" s="178" t="s">
        <v>86</v>
      </c>
      <c r="B150" s="747">
        <f t="shared" ref="B150:AI150" si="134">B86-B29</f>
        <v>0</v>
      </c>
      <c r="C150" s="747">
        <f t="shared" si="134"/>
        <v>0</v>
      </c>
      <c r="D150" s="747">
        <f t="shared" si="134"/>
        <v>13146.654499999946</v>
      </c>
      <c r="E150" s="747">
        <f t="shared" si="134"/>
        <v>13404.802299999981</v>
      </c>
      <c r="F150" s="747">
        <f t="shared" si="134"/>
        <v>13655.070100000012</v>
      </c>
      <c r="G150" s="747">
        <f t="shared" si="134"/>
        <v>13905.327900000033</v>
      </c>
      <c r="H150" s="747">
        <f t="shared" si="134"/>
        <v>14155.595699999947</v>
      </c>
      <c r="I150" s="747">
        <f t="shared" si="134"/>
        <v>14405.853500000085</v>
      </c>
      <c r="J150" s="747">
        <f t="shared" si="134"/>
        <v>14656.111300000106</v>
      </c>
      <c r="K150" s="747">
        <f t="shared" si="134"/>
        <v>14906.379099999904</v>
      </c>
      <c r="L150" s="747">
        <f t="shared" si="134"/>
        <v>15164.536899999948</v>
      </c>
      <c r="M150" s="747">
        <f t="shared" si="134"/>
        <v>15422.6847000001</v>
      </c>
      <c r="N150" s="747">
        <f t="shared" si="134"/>
        <v>15680.832500000019</v>
      </c>
      <c r="O150" s="747">
        <f t="shared" si="134"/>
        <v>16056.229199999943</v>
      </c>
      <c r="P150" s="747">
        <f t="shared" si="134"/>
        <v>16431.625899999985</v>
      </c>
      <c r="Q150" s="747">
        <f t="shared" si="134"/>
        <v>16807.0125999999</v>
      </c>
      <c r="R150" s="747">
        <f t="shared" si="134"/>
        <v>17182.409300000058</v>
      </c>
      <c r="S150" s="747">
        <f t="shared" si="134"/>
        <v>17557.805999999982</v>
      </c>
      <c r="T150" s="747">
        <f t="shared" si="134"/>
        <v>17933.192700000014</v>
      </c>
      <c r="U150" s="747">
        <f t="shared" si="134"/>
        <v>18308.589400000055</v>
      </c>
      <c r="V150" s="747">
        <f t="shared" si="134"/>
        <v>18683.986100000096</v>
      </c>
      <c r="W150" s="747">
        <f t="shared" si="134"/>
        <v>19059.372800000012</v>
      </c>
      <c r="X150" s="747">
        <f t="shared" si="134"/>
        <v>19434.769499999937</v>
      </c>
      <c r="Y150" s="747">
        <f t="shared" si="134"/>
        <v>19810.166199999978</v>
      </c>
      <c r="Z150" s="747">
        <f t="shared" si="134"/>
        <v>20185.55290000001</v>
      </c>
      <c r="AA150" s="747">
        <f t="shared" si="134"/>
        <v>20560.949599999934</v>
      </c>
      <c r="AB150" s="747">
        <f t="shared" si="134"/>
        <v>20944.226300000097</v>
      </c>
      <c r="AC150" s="747">
        <f t="shared" si="134"/>
        <v>21327.523000000161</v>
      </c>
      <c r="AD150" s="747">
        <f t="shared" si="134"/>
        <v>21710.809699999983</v>
      </c>
      <c r="AE150" s="747">
        <f t="shared" si="134"/>
        <v>22094.086399999913</v>
      </c>
      <c r="AF150" s="747">
        <f t="shared" si="134"/>
        <v>22594.611999999848</v>
      </c>
      <c r="AG150" s="747">
        <f t="shared" si="134"/>
        <v>23095.137599999784</v>
      </c>
      <c r="AH150" s="747">
        <f t="shared" si="134"/>
        <v>23595.663200000068</v>
      </c>
      <c r="AI150" s="747">
        <f t="shared" si="134"/>
        <v>24096.178799999994</v>
      </c>
    </row>
    <row r="151" spans="1:35" s="267" customFormat="1" ht="12.75" x14ac:dyDescent="0.2">
      <c r="A151" s="57" t="s">
        <v>87</v>
      </c>
      <c r="B151" s="748">
        <f t="shared" ref="B151:AI151" si="135">B87-B30</f>
        <v>0</v>
      </c>
      <c r="C151" s="748">
        <f t="shared" si="135"/>
        <v>0</v>
      </c>
      <c r="D151" s="748">
        <f t="shared" si="135"/>
        <v>13153.139999999985</v>
      </c>
      <c r="E151" s="748">
        <f t="shared" si="135"/>
        <v>14563.5</v>
      </c>
      <c r="F151" s="748">
        <f t="shared" si="135"/>
        <v>13285.999999999971</v>
      </c>
      <c r="G151" s="748">
        <f t="shared" si="135"/>
        <v>14308</v>
      </c>
      <c r="H151" s="748">
        <f t="shared" si="135"/>
        <v>13030.499999999971</v>
      </c>
      <c r="I151" s="748">
        <f t="shared" si="135"/>
        <v>14052.500000000029</v>
      </c>
      <c r="J151" s="748">
        <f t="shared" si="135"/>
        <v>12775</v>
      </c>
      <c r="K151" s="748">
        <f t="shared" si="135"/>
        <v>13796.999999999971</v>
      </c>
      <c r="L151" s="748">
        <f t="shared" si="135"/>
        <v>13030.5</v>
      </c>
      <c r="M151" s="748">
        <f t="shared" si="135"/>
        <v>14819</v>
      </c>
      <c r="N151" s="748">
        <f t="shared" si="135"/>
        <v>9198.0000000000291</v>
      </c>
      <c r="O151" s="748">
        <f t="shared" si="135"/>
        <v>8431.5</v>
      </c>
      <c r="P151" s="748">
        <f t="shared" si="135"/>
        <v>8942.4999999999709</v>
      </c>
      <c r="Q151" s="748">
        <f t="shared" si="135"/>
        <v>9453.4999999999709</v>
      </c>
      <c r="R151" s="748">
        <f t="shared" si="135"/>
        <v>7409.5</v>
      </c>
      <c r="S151" s="748">
        <f t="shared" si="135"/>
        <v>7920.5</v>
      </c>
      <c r="T151" s="748">
        <f t="shared" si="135"/>
        <v>8431.5</v>
      </c>
      <c r="U151" s="748">
        <f t="shared" si="135"/>
        <v>8942.5</v>
      </c>
      <c r="V151" s="748">
        <f t="shared" si="135"/>
        <v>9709</v>
      </c>
      <c r="W151" s="748">
        <f t="shared" si="135"/>
        <v>10220</v>
      </c>
      <c r="X151" s="748">
        <f t="shared" si="135"/>
        <v>10731</v>
      </c>
      <c r="Y151" s="748">
        <f t="shared" si="135"/>
        <v>8687</v>
      </c>
      <c r="Z151" s="748">
        <f t="shared" si="135"/>
        <v>9198</v>
      </c>
      <c r="AA151" s="748">
        <f t="shared" si="135"/>
        <v>9709</v>
      </c>
      <c r="AB151" s="748">
        <f t="shared" si="135"/>
        <v>10731</v>
      </c>
      <c r="AC151" s="748">
        <f t="shared" si="135"/>
        <v>9453.5</v>
      </c>
      <c r="AD151" s="748">
        <f t="shared" si="135"/>
        <v>10475.5</v>
      </c>
      <c r="AE151" s="748">
        <f t="shared" si="135"/>
        <v>11497.5</v>
      </c>
      <c r="AF151" s="748">
        <f t="shared" si="135"/>
        <v>11497.5</v>
      </c>
      <c r="AG151" s="748">
        <f t="shared" si="135"/>
        <v>11242</v>
      </c>
      <c r="AH151" s="748">
        <f t="shared" si="135"/>
        <v>11242</v>
      </c>
      <c r="AI151" s="748">
        <f t="shared" si="135"/>
        <v>10986.5</v>
      </c>
    </row>
    <row r="152" spans="1:35" s="267" customFormat="1" ht="12.75" x14ac:dyDescent="0.2">
      <c r="A152" s="57" t="s">
        <v>88</v>
      </c>
      <c r="B152" s="748">
        <f t="shared" ref="B152:AI152" si="136">B88-B31</f>
        <v>0</v>
      </c>
      <c r="C152" s="748">
        <f t="shared" si="136"/>
        <v>0</v>
      </c>
      <c r="D152" s="748">
        <f t="shared" si="136"/>
        <v>2072.7199999999975</v>
      </c>
      <c r="E152" s="748">
        <f t="shared" si="136"/>
        <v>2272.0200000000004</v>
      </c>
      <c r="F152" s="748">
        <f t="shared" si="136"/>
        <v>2072.7199999999939</v>
      </c>
      <c r="G152" s="748">
        <f t="shared" si="136"/>
        <v>2232.16</v>
      </c>
      <c r="H152" s="748">
        <f t="shared" si="136"/>
        <v>2032.8600000000006</v>
      </c>
      <c r="I152" s="748">
        <f t="shared" si="136"/>
        <v>2192.3000000000029</v>
      </c>
      <c r="J152" s="748">
        <f t="shared" si="136"/>
        <v>1993</v>
      </c>
      <c r="K152" s="748">
        <f t="shared" si="136"/>
        <v>2152.4400000000023</v>
      </c>
      <c r="L152" s="748">
        <f t="shared" si="136"/>
        <v>2032.8599999999933</v>
      </c>
      <c r="M152" s="748">
        <f t="shared" si="136"/>
        <v>2311.8799999999974</v>
      </c>
      <c r="N152" s="748">
        <f t="shared" si="136"/>
        <v>1434.9599999999991</v>
      </c>
      <c r="O152" s="748">
        <f t="shared" si="136"/>
        <v>1315.3799999999974</v>
      </c>
      <c r="P152" s="748">
        <f t="shared" si="136"/>
        <v>1395.0999999999985</v>
      </c>
      <c r="Q152" s="748">
        <f t="shared" si="136"/>
        <v>1474.8199999999924</v>
      </c>
      <c r="R152" s="748">
        <f t="shared" si="136"/>
        <v>1155.9399999999951</v>
      </c>
      <c r="S152" s="748">
        <f t="shared" si="136"/>
        <v>1235.6599999999962</v>
      </c>
      <c r="T152" s="748">
        <f t="shared" si="136"/>
        <v>1315.3799999999974</v>
      </c>
      <c r="U152" s="748">
        <f t="shared" si="136"/>
        <v>1395.0999999999985</v>
      </c>
      <c r="V152" s="748">
        <f t="shared" si="136"/>
        <v>1514.679999999993</v>
      </c>
      <c r="W152" s="748">
        <f t="shared" si="136"/>
        <v>1594.3999999999942</v>
      </c>
      <c r="X152" s="748">
        <f t="shared" si="136"/>
        <v>1674.1200000000026</v>
      </c>
      <c r="Y152" s="748">
        <f t="shared" si="136"/>
        <v>1355.239999999998</v>
      </c>
      <c r="Z152" s="748">
        <f t="shared" si="136"/>
        <v>1434.9600000000064</v>
      </c>
      <c r="AA152" s="748">
        <f t="shared" si="136"/>
        <v>1514.6800000000003</v>
      </c>
      <c r="AB152" s="748">
        <f t="shared" si="136"/>
        <v>1674.1200000000026</v>
      </c>
      <c r="AC152" s="748">
        <f t="shared" si="136"/>
        <v>1474.8199999999997</v>
      </c>
      <c r="AD152" s="748">
        <f t="shared" si="136"/>
        <v>1634.260000000002</v>
      </c>
      <c r="AE152" s="748">
        <f t="shared" si="136"/>
        <v>1793.6999999999971</v>
      </c>
      <c r="AF152" s="748">
        <f t="shared" si="136"/>
        <v>1793.6999999999971</v>
      </c>
      <c r="AG152" s="748">
        <f t="shared" si="136"/>
        <v>1753.8399999999965</v>
      </c>
      <c r="AH152" s="748">
        <f t="shared" si="136"/>
        <v>1753.8400000000038</v>
      </c>
      <c r="AI152" s="748">
        <f t="shared" si="136"/>
        <v>1713.9800000000032</v>
      </c>
    </row>
    <row r="153" spans="1:35" s="267" customFormat="1" ht="12.75" x14ac:dyDescent="0.2">
      <c r="A153" s="57" t="s">
        <v>89</v>
      </c>
      <c r="B153" s="748">
        <f t="shared" ref="B153:AI153" si="137">B89-B32</f>
        <v>0</v>
      </c>
      <c r="C153" s="748">
        <f t="shared" si="137"/>
        <v>0</v>
      </c>
      <c r="D153" s="748">
        <f t="shared" si="137"/>
        <v>2743.5199999999895</v>
      </c>
      <c r="E153" s="748">
        <f t="shared" si="137"/>
        <v>3007.3199999999924</v>
      </c>
      <c r="F153" s="748">
        <f t="shared" si="137"/>
        <v>2743.5199999999895</v>
      </c>
      <c r="G153" s="748">
        <f t="shared" si="137"/>
        <v>2954.5599999999904</v>
      </c>
      <c r="H153" s="748">
        <f t="shared" si="137"/>
        <v>2690.760000000002</v>
      </c>
      <c r="I153" s="748">
        <f t="shared" si="137"/>
        <v>2901.8000000000029</v>
      </c>
      <c r="J153" s="748">
        <f t="shared" si="137"/>
        <v>2638</v>
      </c>
      <c r="K153" s="748">
        <f t="shared" si="137"/>
        <v>2849.0400000000009</v>
      </c>
      <c r="L153" s="748">
        <f t="shared" si="137"/>
        <v>2690.7599999999948</v>
      </c>
      <c r="M153" s="748">
        <f t="shared" si="137"/>
        <v>3060.0799999999945</v>
      </c>
      <c r="N153" s="748">
        <f t="shared" si="137"/>
        <v>1899.3600000000006</v>
      </c>
      <c r="O153" s="748">
        <f t="shared" si="137"/>
        <v>1741.0800000000017</v>
      </c>
      <c r="P153" s="748">
        <f t="shared" si="137"/>
        <v>1846.5999999999985</v>
      </c>
      <c r="Q153" s="748">
        <f t="shared" si="137"/>
        <v>1952.1200000000026</v>
      </c>
      <c r="R153" s="748">
        <f t="shared" si="137"/>
        <v>1530.0400000000009</v>
      </c>
      <c r="S153" s="748">
        <f t="shared" si="137"/>
        <v>1635.5599999999977</v>
      </c>
      <c r="T153" s="748">
        <f t="shared" si="137"/>
        <v>1741.0799999999945</v>
      </c>
      <c r="U153" s="748">
        <f t="shared" si="137"/>
        <v>1846.5999999999913</v>
      </c>
      <c r="V153" s="748">
        <f t="shared" si="137"/>
        <v>2004.8799999999901</v>
      </c>
      <c r="W153" s="748">
        <f t="shared" si="137"/>
        <v>2110.3999999999869</v>
      </c>
      <c r="X153" s="748">
        <f t="shared" si="137"/>
        <v>2215.9199999999983</v>
      </c>
      <c r="Y153" s="748">
        <f t="shared" si="137"/>
        <v>1793.8399999999965</v>
      </c>
      <c r="Z153" s="748">
        <f t="shared" si="137"/>
        <v>1899.3600000000006</v>
      </c>
      <c r="AA153" s="748">
        <f t="shared" si="137"/>
        <v>2004.8799999999974</v>
      </c>
      <c r="AB153" s="748">
        <f t="shared" si="137"/>
        <v>2215.9199999999983</v>
      </c>
      <c r="AC153" s="748">
        <f t="shared" si="137"/>
        <v>1952.1199999999953</v>
      </c>
      <c r="AD153" s="748">
        <f t="shared" si="137"/>
        <v>2163.1600000000035</v>
      </c>
      <c r="AE153" s="748">
        <f t="shared" si="137"/>
        <v>2374.1999999999825</v>
      </c>
      <c r="AF153" s="748">
        <f t="shared" si="137"/>
        <v>2374.1999999999971</v>
      </c>
      <c r="AG153" s="748">
        <f t="shared" si="137"/>
        <v>2321.4399999999878</v>
      </c>
      <c r="AH153" s="748">
        <f t="shared" si="137"/>
        <v>2321.4400000000023</v>
      </c>
      <c r="AI153" s="748">
        <f t="shared" si="137"/>
        <v>2268.6800000000076</v>
      </c>
    </row>
    <row r="154" spans="1:35" s="260" customFormat="1" ht="12.75" x14ac:dyDescent="0.2">
      <c r="A154" s="268" t="s">
        <v>90</v>
      </c>
      <c r="B154" s="722">
        <f t="shared" ref="B154:AG154" si="138">SUM(B151:B153)</f>
        <v>0</v>
      </c>
      <c r="C154" s="722">
        <f t="shared" si="138"/>
        <v>0</v>
      </c>
      <c r="D154" s="722">
        <f t="shared" si="138"/>
        <v>17969.379999999972</v>
      </c>
      <c r="E154" s="722">
        <f t="shared" si="138"/>
        <v>19842.839999999993</v>
      </c>
      <c r="F154" s="722">
        <f t="shared" si="138"/>
        <v>18102.239999999954</v>
      </c>
      <c r="G154" s="722">
        <f t="shared" si="138"/>
        <v>19494.71999999999</v>
      </c>
      <c r="H154" s="722">
        <f t="shared" si="138"/>
        <v>17754.119999999974</v>
      </c>
      <c r="I154" s="722">
        <f t="shared" si="138"/>
        <v>19146.600000000035</v>
      </c>
      <c r="J154" s="722">
        <f t="shared" si="138"/>
        <v>17406</v>
      </c>
      <c r="K154" s="722">
        <f t="shared" si="138"/>
        <v>18798.479999999974</v>
      </c>
      <c r="L154" s="722">
        <f t="shared" si="138"/>
        <v>17754.119999999988</v>
      </c>
      <c r="M154" s="722">
        <f t="shared" si="138"/>
        <v>20190.959999999992</v>
      </c>
      <c r="N154" s="722">
        <f t="shared" si="138"/>
        <v>12532.320000000029</v>
      </c>
      <c r="O154" s="722">
        <f t="shared" si="138"/>
        <v>11487.96</v>
      </c>
      <c r="P154" s="722">
        <f t="shared" si="138"/>
        <v>12184.199999999968</v>
      </c>
      <c r="Q154" s="722">
        <f t="shared" si="138"/>
        <v>12880.439999999966</v>
      </c>
      <c r="R154" s="722">
        <f t="shared" si="138"/>
        <v>10095.479999999996</v>
      </c>
      <c r="S154" s="722">
        <f t="shared" si="138"/>
        <v>10791.719999999994</v>
      </c>
      <c r="T154" s="722">
        <f t="shared" si="138"/>
        <v>11487.959999999992</v>
      </c>
      <c r="U154" s="722">
        <f t="shared" si="138"/>
        <v>12184.19999999999</v>
      </c>
      <c r="V154" s="722">
        <f t="shared" si="138"/>
        <v>13228.559999999983</v>
      </c>
      <c r="W154" s="722">
        <f t="shared" si="138"/>
        <v>13924.799999999981</v>
      </c>
      <c r="X154" s="722">
        <f t="shared" si="138"/>
        <v>14621.04</v>
      </c>
      <c r="Y154" s="722">
        <f t="shared" si="138"/>
        <v>11836.079999999994</v>
      </c>
      <c r="Z154" s="722">
        <f t="shared" si="138"/>
        <v>12532.320000000007</v>
      </c>
      <c r="AA154" s="722">
        <f t="shared" si="138"/>
        <v>13228.559999999998</v>
      </c>
      <c r="AB154" s="722">
        <f t="shared" si="138"/>
        <v>14621.04</v>
      </c>
      <c r="AC154" s="722">
        <f t="shared" si="138"/>
        <v>12880.439999999995</v>
      </c>
      <c r="AD154" s="722">
        <f t="shared" si="138"/>
        <v>14272.920000000006</v>
      </c>
      <c r="AE154" s="722">
        <f t="shared" si="138"/>
        <v>15665.39999999998</v>
      </c>
      <c r="AF154" s="722">
        <f t="shared" si="138"/>
        <v>15665.399999999994</v>
      </c>
      <c r="AG154" s="722">
        <f t="shared" si="138"/>
        <v>15317.279999999984</v>
      </c>
      <c r="AH154" s="722">
        <f>SUM(AH151:AH153)</f>
        <v>15317.280000000006</v>
      </c>
      <c r="AI154" s="722">
        <f>SUM(AI151:AI153)</f>
        <v>14969.160000000011</v>
      </c>
    </row>
    <row r="155" spans="1:35" s="267" customFormat="1" ht="12.75" x14ac:dyDescent="0.2">
      <c r="A155" s="57" t="s">
        <v>91</v>
      </c>
      <c r="B155" s="748">
        <f t="shared" ref="B155:AI155" si="139">B91-B34</f>
        <v>0</v>
      </c>
      <c r="C155" s="748">
        <f t="shared" si="139"/>
        <v>0</v>
      </c>
      <c r="D155" s="748">
        <f t="shared" si="139"/>
        <v>6813.0899999999383</v>
      </c>
      <c r="E155" s="748">
        <f t="shared" si="139"/>
        <v>11479.249999999971</v>
      </c>
      <c r="F155" s="748">
        <f t="shared" si="139"/>
        <v>9183.3999999999942</v>
      </c>
      <c r="G155" s="748">
        <f t="shared" si="139"/>
        <v>9183.3999999999942</v>
      </c>
      <c r="H155" s="748">
        <f t="shared" si="139"/>
        <v>11479.250000000029</v>
      </c>
      <c r="I155" s="748">
        <f t="shared" si="139"/>
        <v>9183.4000000000233</v>
      </c>
      <c r="J155" s="748">
        <f t="shared" si="139"/>
        <v>9183.3999999999942</v>
      </c>
      <c r="K155" s="748">
        <f t="shared" si="139"/>
        <v>11479.25</v>
      </c>
      <c r="L155" s="748">
        <f t="shared" si="139"/>
        <v>11479.250000000029</v>
      </c>
      <c r="M155" s="748">
        <f t="shared" si="139"/>
        <v>9183.4000000000233</v>
      </c>
      <c r="N155" s="748">
        <f t="shared" si="139"/>
        <v>6887.5500000000175</v>
      </c>
      <c r="O155" s="748">
        <f t="shared" si="139"/>
        <v>6887.5499999999593</v>
      </c>
      <c r="P155" s="748">
        <f t="shared" si="139"/>
        <v>4591.7000000000116</v>
      </c>
      <c r="Q155" s="748">
        <f t="shared" si="139"/>
        <v>6887.5499999999884</v>
      </c>
      <c r="R155" s="748">
        <f t="shared" si="139"/>
        <v>4591.7000000000116</v>
      </c>
      <c r="S155" s="748">
        <f t="shared" si="139"/>
        <v>6887.5499999999884</v>
      </c>
      <c r="T155" s="748">
        <f t="shared" si="139"/>
        <v>4591.7000000000116</v>
      </c>
      <c r="U155" s="748">
        <f t="shared" si="139"/>
        <v>6887.5499999999884</v>
      </c>
      <c r="V155" s="748">
        <f t="shared" si="139"/>
        <v>4591.7000000000116</v>
      </c>
      <c r="W155" s="748">
        <f t="shared" si="139"/>
        <v>6887.5499999999884</v>
      </c>
      <c r="X155" s="748">
        <f t="shared" si="139"/>
        <v>4591.7000000000116</v>
      </c>
      <c r="Y155" s="748">
        <f t="shared" si="139"/>
        <v>6887.5499999999884</v>
      </c>
      <c r="Z155" s="748">
        <f t="shared" si="139"/>
        <v>6887.5499999999884</v>
      </c>
      <c r="AA155" s="748">
        <f t="shared" si="139"/>
        <v>6887.5499999999884</v>
      </c>
      <c r="AB155" s="748">
        <f t="shared" si="139"/>
        <v>6887.5499999999884</v>
      </c>
      <c r="AC155" s="748">
        <f t="shared" si="139"/>
        <v>6887.5499999999884</v>
      </c>
      <c r="AD155" s="748">
        <f t="shared" si="139"/>
        <v>6887.5499999999884</v>
      </c>
      <c r="AE155" s="748">
        <f t="shared" si="139"/>
        <v>6887.5500000000466</v>
      </c>
      <c r="AF155" s="748">
        <f t="shared" si="139"/>
        <v>6887.5499999999884</v>
      </c>
      <c r="AG155" s="748">
        <f t="shared" si="139"/>
        <v>6887.5499999999884</v>
      </c>
      <c r="AH155" s="748">
        <f t="shared" si="139"/>
        <v>6887.5499999999302</v>
      </c>
      <c r="AI155" s="748">
        <f t="shared" si="139"/>
        <v>6887.5499999999884</v>
      </c>
    </row>
    <row r="156" spans="1:35" s="260" customFormat="1" ht="12.75" x14ac:dyDescent="0.2">
      <c r="A156" s="213" t="s">
        <v>92</v>
      </c>
      <c r="B156" s="746">
        <f t="shared" ref="B156:AI156" si="140">B92-B35</f>
        <v>0</v>
      </c>
      <c r="C156" s="746">
        <f t="shared" si="140"/>
        <v>0</v>
      </c>
      <c r="D156" s="746">
        <f t="shared" si="140"/>
        <v>1171.8839999999982</v>
      </c>
      <c r="E156" s="746">
        <f t="shared" si="140"/>
        <v>1953.1399999999994</v>
      </c>
      <c r="F156" s="746">
        <f t="shared" si="140"/>
        <v>1562.5120000000024</v>
      </c>
      <c r="G156" s="746">
        <f t="shared" si="140"/>
        <v>1562.5120000000024</v>
      </c>
      <c r="H156" s="746">
        <f t="shared" si="140"/>
        <v>1953.1399999999994</v>
      </c>
      <c r="I156" s="746">
        <f t="shared" si="140"/>
        <v>1562.5119999999952</v>
      </c>
      <c r="J156" s="746">
        <f t="shared" si="140"/>
        <v>1562.5120000000024</v>
      </c>
      <c r="K156" s="746">
        <f t="shared" si="140"/>
        <v>1953.1399999999994</v>
      </c>
      <c r="L156" s="746">
        <f t="shared" si="140"/>
        <v>1953.1399999999994</v>
      </c>
      <c r="M156" s="746">
        <f t="shared" si="140"/>
        <v>1562.5120000000024</v>
      </c>
      <c r="N156" s="746">
        <f t="shared" si="140"/>
        <v>1171.8839999999982</v>
      </c>
      <c r="O156" s="746">
        <f t="shared" si="140"/>
        <v>1171.8839999999909</v>
      </c>
      <c r="P156" s="746">
        <f t="shared" si="140"/>
        <v>781.25600000000122</v>
      </c>
      <c r="Q156" s="746">
        <f t="shared" si="140"/>
        <v>1171.8839999999982</v>
      </c>
      <c r="R156" s="746">
        <f t="shared" si="140"/>
        <v>781.25600000000122</v>
      </c>
      <c r="S156" s="746">
        <f t="shared" si="140"/>
        <v>1171.8840000000055</v>
      </c>
      <c r="T156" s="746">
        <f t="shared" si="140"/>
        <v>781.25599999999395</v>
      </c>
      <c r="U156" s="746">
        <f t="shared" si="140"/>
        <v>1171.8840000000055</v>
      </c>
      <c r="V156" s="746">
        <f t="shared" si="140"/>
        <v>781.25600000000122</v>
      </c>
      <c r="W156" s="746">
        <f t="shared" si="140"/>
        <v>1171.8839999999982</v>
      </c>
      <c r="X156" s="746">
        <f t="shared" si="140"/>
        <v>781.25600000000122</v>
      </c>
      <c r="Y156" s="746">
        <f t="shared" si="140"/>
        <v>1171.8839999999909</v>
      </c>
      <c r="Z156" s="746">
        <f t="shared" si="140"/>
        <v>1171.8839999999909</v>
      </c>
      <c r="AA156" s="746">
        <f t="shared" si="140"/>
        <v>1171.8840000000055</v>
      </c>
      <c r="AB156" s="746">
        <f t="shared" si="140"/>
        <v>1171.8839999999982</v>
      </c>
      <c r="AC156" s="746">
        <f t="shared" si="140"/>
        <v>1171.8839999999982</v>
      </c>
      <c r="AD156" s="746">
        <f t="shared" si="140"/>
        <v>1171.8839999999982</v>
      </c>
      <c r="AE156" s="746">
        <f t="shared" si="140"/>
        <v>1171.8840000000055</v>
      </c>
      <c r="AF156" s="746">
        <f t="shared" si="140"/>
        <v>1171.8839999999982</v>
      </c>
      <c r="AG156" s="746">
        <f t="shared" si="140"/>
        <v>1171.8840000000055</v>
      </c>
      <c r="AH156" s="746">
        <f t="shared" si="140"/>
        <v>1171.8839999999909</v>
      </c>
      <c r="AI156" s="746">
        <f t="shared" si="140"/>
        <v>1171.8839999999982</v>
      </c>
    </row>
    <row r="157" spans="1:35" s="260" customFormat="1" ht="12.75" x14ac:dyDescent="0.2">
      <c r="A157" s="213" t="s">
        <v>93</v>
      </c>
      <c r="B157" s="746">
        <f t="shared" ref="B157:AI157" si="141">B93-B36</f>
        <v>0</v>
      </c>
      <c r="C157" s="746">
        <f t="shared" si="141"/>
        <v>0</v>
      </c>
      <c r="D157" s="746">
        <f t="shared" si="141"/>
        <v>1564.5</v>
      </c>
      <c r="E157" s="746">
        <f t="shared" si="141"/>
        <v>2607.5</v>
      </c>
      <c r="F157" s="746">
        <f t="shared" si="141"/>
        <v>2086</v>
      </c>
      <c r="G157" s="746">
        <f t="shared" si="141"/>
        <v>2086</v>
      </c>
      <c r="H157" s="746">
        <f t="shared" si="141"/>
        <v>2607.5</v>
      </c>
      <c r="I157" s="746">
        <f t="shared" si="141"/>
        <v>2086</v>
      </c>
      <c r="J157" s="746">
        <f t="shared" si="141"/>
        <v>2086</v>
      </c>
      <c r="K157" s="746">
        <f t="shared" si="141"/>
        <v>2607.5</v>
      </c>
      <c r="L157" s="746">
        <f t="shared" si="141"/>
        <v>2607.5000000000073</v>
      </c>
      <c r="M157" s="746">
        <f t="shared" si="141"/>
        <v>2086.0000000000073</v>
      </c>
      <c r="N157" s="746">
        <f t="shared" si="141"/>
        <v>1564.5</v>
      </c>
      <c r="O157" s="746">
        <f t="shared" si="141"/>
        <v>1564.4999999999854</v>
      </c>
      <c r="P157" s="746">
        <f t="shared" si="141"/>
        <v>1043</v>
      </c>
      <c r="Q157" s="746">
        <f t="shared" si="141"/>
        <v>1564.5000000000073</v>
      </c>
      <c r="R157" s="746">
        <f t="shared" si="141"/>
        <v>1043</v>
      </c>
      <c r="S157" s="746">
        <f t="shared" si="141"/>
        <v>1564.5</v>
      </c>
      <c r="T157" s="746">
        <f t="shared" si="141"/>
        <v>1043</v>
      </c>
      <c r="U157" s="746">
        <f t="shared" si="141"/>
        <v>1564.5</v>
      </c>
      <c r="V157" s="746">
        <f t="shared" si="141"/>
        <v>1043</v>
      </c>
      <c r="W157" s="746">
        <f t="shared" si="141"/>
        <v>1564.5</v>
      </c>
      <c r="X157" s="746">
        <f t="shared" si="141"/>
        <v>1043</v>
      </c>
      <c r="Y157" s="746">
        <f t="shared" si="141"/>
        <v>1564.5</v>
      </c>
      <c r="Z157" s="746">
        <f t="shared" si="141"/>
        <v>1564.5</v>
      </c>
      <c r="AA157" s="746">
        <f t="shared" si="141"/>
        <v>1564.5</v>
      </c>
      <c r="AB157" s="746">
        <f t="shared" si="141"/>
        <v>1564.5</v>
      </c>
      <c r="AC157" s="746">
        <f t="shared" si="141"/>
        <v>1564.5</v>
      </c>
      <c r="AD157" s="746">
        <f t="shared" si="141"/>
        <v>1564.5</v>
      </c>
      <c r="AE157" s="746">
        <f t="shared" si="141"/>
        <v>1564.5</v>
      </c>
      <c r="AF157" s="746">
        <f t="shared" si="141"/>
        <v>1564.5</v>
      </c>
      <c r="AG157" s="746">
        <f t="shared" si="141"/>
        <v>1564.5</v>
      </c>
      <c r="AH157" s="746">
        <f t="shared" si="141"/>
        <v>1564.5</v>
      </c>
      <c r="AI157" s="746">
        <f t="shared" si="141"/>
        <v>1564.4999999999854</v>
      </c>
    </row>
    <row r="158" spans="1:35" s="260" customFormat="1" ht="12.75" x14ac:dyDescent="0.2">
      <c r="A158" s="269" t="s">
        <v>94</v>
      </c>
      <c r="B158" s="711">
        <f t="shared" ref="B158:AG158" si="142">SUM(B155:B157)</f>
        <v>0</v>
      </c>
      <c r="C158" s="711">
        <f t="shared" si="142"/>
        <v>0</v>
      </c>
      <c r="D158" s="711">
        <f t="shared" si="142"/>
        <v>9549.4739999999365</v>
      </c>
      <c r="E158" s="711">
        <f t="shared" si="142"/>
        <v>16039.88999999997</v>
      </c>
      <c r="F158" s="711">
        <f t="shared" si="142"/>
        <v>12831.911999999997</v>
      </c>
      <c r="G158" s="711">
        <f t="shared" si="142"/>
        <v>12831.911999999997</v>
      </c>
      <c r="H158" s="711">
        <f t="shared" si="142"/>
        <v>16039.890000000029</v>
      </c>
      <c r="I158" s="711">
        <f t="shared" si="142"/>
        <v>12831.912000000018</v>
      </c>
      <c r="J158" s="711">
        <f t="shared" si="142"/>
        <v>12831.911999999997</v>
      </c>
      <c r="K158" s="711">
        <f t="shared" si="142"/>
        <v>16039.89</v>
      </c>
      <c r="L158" s="711">
        <f t="shared" si="142"/>
        <v>16039.890000000036</v>
      </c>
      <c r="M158" s="711">
        <f t="shared" si="142"/>
        <v>12831.912000000033</v>
      </c>
      <c r="N158" s="711">
        <f t="shared" si="142"/>
        <v>9623.9340000000157</v>
      </c>
      <c r="O158" s="711">
        <f t="shared" si="142"/>
        <v>9623.9339999999356</v>
      </c>
      <c r="P158" s="711">
        <f t="shared" si="142"/>
        <v>6415.9560000000129</v>
      </c>
      <c r="Q158" s="711">
        <f t="shared" si="142"/>
        <v>9623.9339999999938</v>
      </c>
      <c r="R158" s="711">
        <f t="shared" si="142"/>
        <v>6415.9560000000129</v>
      </c>
      <c r="S158" s="711">
        <f t="shared" si="142"/>
        <v>9623.9339999999938</v>
      </c>
      <c r="T158" s="711">
        <f t="shared" si="142"/>
        <v>6415.9560000000056</v>
      </c>
      <c r="U158" s="711">
        <f t="shared" si="142"/>
        <v>9623.9339999999938</v>
      </c>
      <c r="V158" s="711">
        <f t="shared" si="142"/>
        <v>6415.9560000000129</v>
      </c>
      <c r="W158" s="711">
        <f t="shared" si="142"/>
        <v>9623.9339999999866</v>
      </c>
      <c r="X158" s="711">
        <f t="shared" si="142"/>
        <v>6415.9560000000129</v>
      </c>
      <c r="Y158" s="711">
        <f t="shared" si="142"/>
        <v>9623.9339999999793</v>
      </c>
      <c r="Z158" s="711">
        <f t="shared" si="142"/>
        <v>9623.9339999999793</v>
      </c>
      <c r="AA158" s="711">
        <f t="shared" si="142"/>
        <v>9623.9339999999938</v>
      </c>
      <c r="AB158" s="711">
        <f t="shared" si="142"/>
        <v>9623.9339999999866</v>
      </c>
      <c r="AC158" s="711">
        <f t="shared" si="142"/>
        <v>9623.9339999999866</v>
      </c>
      <c r="AD158" s="711">
        <f t="shared" si="142"/>
        <v>9623.9339999999866</v>
      </c>
      <c r="AE158" s="711">
        <f t="shared" si="142"/>
        <v>9623.934000000052</v>
      </c>
      <c r="AF158" s="711">
        <f t="shared" si="142"/>
        <v>9623.9339999999866</v>
      </c>
      <c r="AG158" s="711">
        <f t="shared" si="142"/>
        <v>9623.9339999999938</v>
      </c>
      <c r="AH158" s="711">
        <f>SUM(AH155:AH157)</f>
        <v>9623.9339999999211</v>
      </c>
      <c r="AI158" s="711">
        <f>SUM(AI155:AI157)</f>
        <v>9623.933999999972</v>
      </c>
    </row>
    <row r="159" spans="1:35" s="260" customFormat="1" ht="25.5" x14ac:dyDescent="0.2">
      <c r="A159" s="178" t="s">
        <v>95</v>
      </c>
      <c r="B159" s="711">
        <f t="shared" ref="B159:AG159" si="143">SUM(B154,B158)</f>
        <v>0</v>
      </c>
      <c r="C159" s="711">
        <f t="shared" si="143"/>
        <v>0</v>
      </c>
      <c r="D159" s="711">
        <f t="shared" si="143"/>
        <v>27518.853999999908</v>
      </c>
      <c r="E159" s="711">
        <f t="shared" si="143"/>
        <v>35882.729999999967</v>
      </c>
      <c r="F159" s="711">
        <f t="shared" si="143"/>
        <v>30934.151999999951</v>
      </c>
      <c r="G159" s="711">
        <f t="shared" si="143"/>
        <v>32326.631999999987</v>
      </c>
      <c r="H159" s="711">
        <f t="shared" si="143"/>
        <v>33794.01</v>
      </c>
      <c r="I159" s="711">
        <f t="shared" si="143"/>
        <v>31978.512000000053</v>
      </c>
      <c r="J159" s="711">
        <f t="shared" si="143"/>
        <v>30237.911999999997</v>
      </c>
      <c r="K159" s="711">
        <f t="shared" si="143"/>
        <v>34838.369999999974</v>
      </c>
      <c r="L159" s="711">
        <f t="shared" si="143"/>
        <v>33794.010000000024</v>
      </c>
      <c r="M159" s="711">
        <f t="shared" si="143"/>
        <v>33022.872000000025</v>
      </c>
      <c r="N159" s="711">
        <f t="shared" si="143"/>
        <v>22156.254000000044</v>
      </c>
      <c r="O159" s="711">
        <f t="shared" si="143"/>
        <v>21111.893999999935</v>
      </c>
      <c r="P159" s="711">
        <f t="shared" si="143"/>
        <v>18600.155999999981</v>
      </c>
      <c r="Q159" s="711">
        <f t="shared" si="143"/>
        <v>22504.37399999996</v>
      </c>
      <c r="R159" s="711">
        <f t="shared" si="143"/>
        <v>16511.436000000009</v>
      </c>
      <c r="S159" s="711">
        <f t="shared" si="143"/>
        <v>20415.653999999988</v>
      </c>
      <c r="T159" s="711">
        <f t="shared" si="143"/>
        <v>17903.915999999997</v>
      </c>
      <c r="U159" s="711">
        <f t="shared" si="143"/>
        <v>21808.133999999984</v>
      </c>
      <c r="V159" s="711">
        <f t="shared" si="143"/>
        <v>19644.515999999996</v>
      </c>
      <c r="W159" s="711">
        <f t="shared" si="143"/>
        <v>23548.733999999968</v>
      </c>
      <c r="X159" s="711">
        <f t="shared" si="143"/>
        <v>21036.996000000014</v>
      </c>
      <c r="Y159" s="711">
        <f t="shared" si="143"/>
        <v>21460.013999999974</v>
      </c>
      <c r="Z159" s="711">
        <f t="shared" si="143"/>
        <v>22156.253999999986</v>
      </c>
      <c r="AA159" s="711">
        <f t="shared" si="143"/>
        <v>22852.493999999992</v>
      </c>
      <c r="AB159" s="711">
        <f t="shared" si="143"/>
        <v>24244.973999999987</v>
      </c>
      <c r="AC159" s="711">
        <f t="shared" si="143"/>
        <v>22504.373999999982</v>
      </c>
      <c r="AD159" s="711">
        <f t="shared" si="143"/>
        <v>23896.853999999992</v>
      </c>
      <c r="AE159" s="711">
        <f t="shared" si="143"/>
        <v>25289.334000000032</v>
      </c>
      <c r="AF159" s="711">
        <f t="shared" si="143"/>
        <v>25289.333999999981</v>
      </c>
      <c r="AG159" s="711">
        <f t="shared" si="143"/>
        <v>24941.213999999978</v>
      </c>
      <c r="AH159" s="711">
        <f>SUM(AH154,AH158)</f>
        <v>24941.213999999927</v>
      </c>
      <c r="AI159" s="711">
        <f>SUM(AI154,AI158)</f>
        <v>24593.093999999983</v>
      </c>
    </row>
    <row r="160" spans="1:35" s="260" customFormat="1" ht="25.5" x14ac:dyDescent="0.2">
      <c r="A160" s="178" t="s">
        <v>96</v>
      </c>
      <c r="B160" s="711">
        <f t="shared" ref="B160:AG160" si="144">B159-B150</f>
        <v>0</v>
      </c>
      <c r="C160" s="711">
        <f t="shared" si="144"/>
        <v>0</v>
      </c>
      <c r="D160" s="711">
        <f t="shared" si="144"/>
        <v>14372.199499999962</v>
      </c>
      <c r="E160" s="711">
        <f t="shared" si="144"/>
        <v>22477.927699999986</v>
      </c>
      <c r="F160" s="711">
        <f t="shared" si="144"/>
        <v>17279.081899999939</v>
      </c>
      <c r="G160" s="711">
        <f t="shared" si="144"/>
        <v>18421.304099999954</v>
      </c>
      <c r="H160" s="711">
        <f t="shared" si="144"/>
        <v>19638.414300000055</v>
      </c>
      <c r="I160" s="711">
        <f t="shared" si="144"/>
        <v>17572.658499999969</v>
      </c>
      <c r="J160" s="711">
        <f t="shared" si="144"/>
        <v>15581.800699999891</v>
      </c>
      <c r="K160" s="711">
        <f t="shared" si="144"/>
        <v>19931.99090000007</v>
      </c>
      <c r="L160" s="711">
        <f t="shared" si="144"/>
        <v>18629.473100000076</v>
      </c>
      <c r="M160" s="711">
        <f t="shared" si="144"/>
        <v>17600.187299999925</v>
      </c>
      <c r="N160" s="711">
        <f t="shared" si="144"/>
        <v>6475.4215000000258</v>
      </c>
      <c r="O160" s="711">
        <f t="shared" si="144"/>
        <v>5055.6647999999914</v>
      </c>
      <c r="P160" s="711">
        <f t="shared" si="144"/>
        <v>2168.5300999999963</v>
      </c>
      <c r="Q160" s="711">
        <f t="shared" si="144"/>
        <v>5697.3614000000598</v>
      </c>
      <c r="R160" s="711">
        <f t="shared" si="144"/>
        <v>-670.97330000004877</v>
      </c>
      <c r="S160" s="711">
        <f t="shared" si="144"/>
        <v>2857.8480000000054</v>
      </c>
      <c r="T160" s="711">
        <f t="shared" si="144"/>
        <v>-29.276700000016717</v>
      </c>
      <c r="U160" s="711">
        <f t="shared" si="144"/>
        <v>3499.5445999999283</v>
      </c>
      <c r="V160" s="711">
        <f t="shared" si="144"/>
        <v>960.5298999998995</v>
      </c>
      <c r="W160" s="711">
        <f t="shared" si="144"/>
        <v>4489.3611999999557</v>
      </c>
      <c r="X160" s="711">
        <f t="shared" si="144"/>
        <v>1602.2265000000771</v>
      </c>
      <c r="Y160" s="711">
        <f t="shared" si="144"/>
        <v>1649.8477999999959</v>
      </c>
      <c r="Z160" s="711">
        <f t="shared" si="144"/>
        <v>1970.7010999999766</v>
      </c>
      <c r="AA160" s="711">
        <f t="shared" si="144"/>
        <v>2291.5444000000571</v>
      </c>
      <c r="AB160" s="711">
        <f t="shared" si="144"/>
        <v>3300.7476999998908</v>
      </c>
      <c r="AC160" s="711">
        <f t="shared" si="144"/>
        <v>1176.8509999998205</v>
      </c>
      <c r="AD160" s="711">
        <f t="shared" si="144"/>
        <v>2186.0443000000087</v>
      </c>
      <c r="AE160" s="711">
        <f t="shared" si="144"/>
        <v>3195.2476000001188</v>
      </c>
      <c r="AF160" s="711">
        <f t="shared" si="144"/>
        <v>2694.7220000001325</v>
      </c>
      <c r="AG160" s="711">
        <f t="shared" si="144"/>
        <v>1846.0764000001946</v>
      </c>
      <c r="AH160" s="711">
        <f>AH159-AH150</f>
        <v>1345.550799999859</v>
      </c>
      <c r="AI160" s="711">
        <f>AI159-AI150</f>
        <v>496.91519999998854</v>
      </c>
    </row>
    <row r="163" spans="2:35" hidden="1" x14ac:dyDescent="0.2"/>
    <row r="164" spans="2:35" hidden="1" x14ac:dyDescent="0.2">
      <c r="B164" s="286">
        <f>Aprekini!B368</f>
        <v>0</v>
      </c>
      <c r="C164" s="286">
        <f>Aprekini!C368</f>
        <v>0</v>
      </c>
      <c r="D164" s="286">
        <f>Aprekini!D368</f>
        <v>0</v>
      </c>
      <c r="E164" s="286">
        <f>Aprekini!E368</f>
        <v>0</v>
      </c>
      <c r="F164" s="286">
        <f>Aprekini!F368</f>
        <v>0</v>
      </c>
      <c r="G164" s="286">
        <f>Aprekini!G368</f>
        <v>0</v>
      </c>
      <c r="H164" s="286">
        <f>Aprekini!H368</f>
        <v>0</v>
      </c>
      <c r="I164" s="286">
        <f>Aprekini!I368</f>
        <v>0</v>
      </c>
      <c r="J164" s="286">
        <f>Aprekini!J368</f>
        <v>0</v>
      </c>
      <c r="K164" s="286">
        <f>Aprekini!K368</f>
        <v>0</v>
      </c>
      <c r="L164" s="286">
        <f>Aprekini!L368</f>
        <v>0</v>
      </c>
      <c r="M164" s="286">
        <f>Aprekini!M368</f>
        <v>0</v>
      </c>
      <c r="N164" s="286">
        <f>Aprekini!N368</f>
        <v>0</v>
      </c>
      <c r="O164" s="286">
        <f>Aprekini!O368</f>
        <v>0</v>
      </c>
      <c r="P164" s="286">
        <f>Aprekini!P368</f>
        <v>0</v>
      </c>
      <c r="Q164" s="286">
        <f>Aprekini!Q368</f>
        <v>0</v>
      </c>
      <c r="R164" s="286">
        <f>Aprekini!R368</f>
        <v>0</v>
      </c>
      <c r="S164" s="286">
        <f>Aprekini!S368</f>
        <v>0</v>
      </c>
      <c r="T164" s="286">
        <f>Aprekini!T368</f>
        <v>0</v>
      </c>
      <c r="U164" s="286">
        <f>Aprekini!U368</f>
        <v>0</v>
      </c>
      <c r="V164" s="286">
        <f>Aprekini!V368</f>
        <v>0</v>
      </c>
      <c r="W164" s="286">
        <f>Aprekini!W368</f>
        <v>0</v>
      </c>
      <c r="X164" s="286">
        <f>Aprekini!X368</f>
        <v>0</v>
      </c>
      <c r="Y164" s="286">
        <f>Aprekini!Y368</f>
        <v>0</v>
      </c>
      <c r="Z164" s="286">
        <f>Aprekini!Z368</f>
        <v>0</v>
      </c>
      <c r="AA164" s="286">
        <f>Aprekini!AA368</f>
        <v>0</v>
      </c>
      <c r="AB164" s="286">
        <f>Aprekini!AB368</f>
        <v>0</v>
      </c>
      <c r="AC164" s="286">
        <f>Aprekini!AC368</f>
        <v>0</v>
      </c>
      <c r="AD164" s="286">
        <f>Aprekini!AD368</f>
        <v>0</v>
      </c>
      <c r="AE164" s="286">
        <f>Aprekini!AE368</f>
        <v>0</v>
      </c>
      <c r="AF164" s="286">
        <f>Aprekini!AF368</f>
        <v>0</v>
      </c>
      <c r="AG164" s="286">
        <f>Aprekini!AG368</f>
        <v>0</v>
      </c>
      <c r="AH164" s="286">
        <f>Aprekini!AH368</f>
        <v>0</v>
      </c>
      <c r="AI164" s="286">
        <f>Aprekini!AI368</f>
        <v>0</v>
      </c>
    </row>
    <row r="165" spans="2:35" hidden="1" x14ac:dyDescent="0.2">
      <c r="C165" s="254">
        <f>-13044+91</f>
        <v>-12953</v>
      </c>
      <c r="D165" s="286"/>
      <c r="E165" s="254">
        <v>1</v>
      </c>
      <c r="F165" s="286">
        <v>-1</v>
      </c>
      <c r="H165" s="254">
        <f>5415+246</f>
        <v>5661</v>
      </c>
      <c r="I165" s="254">
        <f>5504+254</f>
        <v>5758</v>
      </c>
      <c r="J165" s="254">
        <f>5591+296</f>
        <v>5887</v>
      </c>
      <c r="K165" s="254">
        <v>1</v>
      </c>
      <c r="L165" s="254">
        <v>-2</v>
      </c>
      <c r="M165" s="254">
        <v>1</v>
      </c>
      <c r="P165" s="254">
        <f>6235+391</f>
        <v>6626</v>
      </c>
      <c r="Q165" s="254">
        <f>6302+402</f>
        <v>6704</v>
      </c>
      <c r="R165" s="254">
        <f>6429+391</f>
        <v>6820</v>
      </c>
      <c r="S165" s="254">
        <v>1</v>
      </c>
    </row>
    <row r="166" spans="2:35" hidden="1" x14ac:dyDescent="0.2">
      <c r="C166" s="286">
        <f>C165+C164</f>
        <v>-12953</v>
      </c>
      <c r="D166" s="286">
        <f t="shared" ref="D166:AG166" si="145">D165+D164</f>
        <v>0</v>
      </c>
      <c r="E166" s="286">
        <f t="shared" si="145"/>
        <v>1</v>
      </c>
      <c r="F166" s="286">
        <f t="shared" si="145"/>
        <v>-1</v>
      </c>
      <c r="G166" s="286">
        <f t="shared" si="145"/>
        <v>0</v>
      </c>
      <c r="H166" s="286">
        <f t="shared" si="145"/>
        <v>5661</v>
      </c>
      <c r="I166" s="286">
        <f t="shared" si="145"/>
        <v>5758</v>
      </c>
      <c r="J166" s="286">
        <f t="shared" si="145"/>
        <v>5887</v>
      </c>
      <c r="K166" s="286">
        <f t="shared" si="145"/>
        <v>1</v>
      </c>
      <c r="L166" s="286">
        <f t="shared" si="145"/>
        <v>-2</v>
      </c>
      <c r="M166" s="286">
        <f t="shared" si="145"/>
        <v>1</v>
      </c>
      <c r="N166" s="286">
        <f t="shared" si="145"/>
        <v>0</v>
      </c>
      <c r="O166" s="286">
        <f t="shared" si="145"/>
        <v>0</v>
      </c>
      <c r="P166" s="286">
        <f t="shared" si="145"/>
        <v>6626</v>
      </c>
      <c r="Q166" s="286">
        <f t="shared" si="145"/>
        <v>6704</v>
      </c>
      <c r="R166" s="286">
        <f t="shared" si="145"/>
        <v>6820</v>
      </c>
      <c r="S166" s="286">
        <f t="shared" si="145"/>
        <v>1</v>
      </c>
      <c r="T166" s="286">
        <f t="shared" si="145"/>
        <v>0</v>
      </c>
      <c r="U166" s="286">
        <f t="shared" si="145"/>
        <v>0</v>
      </c>
      <c r="V166" s="286">
        <f t="shared" si="145"/>
        <v>0</v>
      </c>
      <c r="W166" s="286">
        <f t="shared" si="145"/>
        <v>0</v>
      </c>
      <c r="X166" s="286">
        <f t="shared" si="145"/>
        <v>0</v>
      </c>
      <c r="Y166" s="286">
        <f t="shared" si="145"/>
        <v>0</v>
      </c>
      <c r="Z166" s="286">
        <f t="shared" si="145"/>
        <v>0</v>
      </c>
      <c r="AA166" s="286">
        <f t="shared" si="145"/>
        <v>0</v>
      </c>
      <c r="AB166" s="286">
        <f t="shared" si="145"/>
        <v>0</v>
      </c>
      <c r="AC166" s="286">
        <f t="shared" si="145"/>
        <v>0</v>
      </c>
      <c r="AD166" s="286">
        <f t="shared" si="145"/>
        <v>0</v>
      </c>
      <c r="AE166" s="286">
        <f t="shared" si="145"/>
        <v>0</v>
      </c>
      <c r="AF166" s="286">
        <f t="shared" si="145"/>
        <v>0</v>
      </c>
      <c r="AG166" s="286">
        <f t="shared" si="145"/>
        <v>0</v>
      </c>
      <c r="AH166" s="286">
        <f>AH165+AH164</f>
        <v>0</v>
      </c>
      <c r="AI166" s="286">
        <f>AI165+AI164</f>
        <v>0</v>
      </c>
    </row>
    <row r="167" spans="2:35" hidden="1" x14ac:dyDescent="0.2"/>
    <row r="168" spans="2:35" hidden="1" x14ac:dyDescent="0.2">
      <c r="D168" s="286">
        <f>D159-Aprekini!D238</f>
        <v>0</v>
      </c>
      <c r="E168" s="286">
        <f>E159-Aprekini!E238</f>
        <v>0</v>
      </c>
      <c r="F168" s="286">
        <f>F159-Aprekini!F238</f>
        <v>0</v>
      </c>
      <c r="G168" s="286">
        <f>G159-Aprekini!G238</f>
        <v>0</v>
      </c>
      <c r="H168" s="286">
        <f>H159-Aprekini!H238</f>
        <v>0</v>
      </c>
      <c r="I168" s="286">
        <f>I159-Aprekini!I238</f>
        <v>0</v>
      </c>
      <c r="J168" s="286">
        <f>J159-Aprekini!J238</f>
        <v>0</v>
      </c>
      <c r="K168" s="286">
        <f>K159-Aprekini!K238</f>
        <v>0</v>
      </c>
      <c r="L168" s="286">
        <f>L159-Aprekini!L238</f>
        <v>0</v>
      </c>
      <c r="M168" s="286">
        <f>M159-Aprekini!M238</f>
        <v>0</v>
      </c>
      <c r="N168" s="286">
        <f>N159-Aprekini!N238</f>
        <v>0</v>
      </c>
      <c r="O168" s="286">
        <f>O159-Aprekini!O238</f>
        <v>0</v>
      </c>
      <c r="P168" s="286">
        <f>P159-Aprekini!P238</f>
        <v>0</v>
      </c>
      <c r="Q168" s="286">
        <f>Q159-Aprekini!Q238</f>
        <v>0</v>
      </c>
      <c r="R168" s="286">
        <f>R159-Aprekini!R238</f>
        <v>0</v>
      </c>
      <c r="S168" s="286">
        <f>S159-Aprekini!S238</f>
        <v>0</v>
      </c>
      <c r="T168" s="286">
        <f>T159-Aprekini!T238</f>
        <v>0</v>
      </c>
      <c r="U168" s="286">
        <f>U159-Aprekini!U238</f>
        <v>0</v>
      </c>
      <c r="V168" s="286">
        <f>V159-Aprekini!V238</f>
        <v>0</v>
      </c>
      <c r="W168" s="286">
        <f>W159-Aprekini!W238</f>
        <v>0</v>
      </c>
      <c r="X168" s="286">
        <f>X159-Aprekini!X238</f>
        <v>0</v>
      </c>
      <c r="Y168" s="286">
        <f>Y159-Aprekini!Y238</f>
        <v>0</v>
      </c>
      <c r="Z168" s="286">
        <f>Z159-Aprekini!Z238</f>
        <v>0</v>
      </c>
      <c r="AA168" s="286">
        <f>AA159-Aprekini!AA238</f>
        <v>0</v>
      </c>
      <c r="AB168" s="286">
        <f>AB159-Aprekini!AB238</f>
        <v>0</v>
      </c>
      <c r="AC168" s="286">
        <f>AC159-Aprekini!AC238</f>
        <v>0</v>
      </c>
      <c r="AD168" s="286">
        <f>AD159-Aprekini!AD238</f>
        <v>0</v>
      </c>
      <c r="AE168" s="286">
        <f>AE159-Aprekini!AE238</f>
        <v>0</v>
      </c>
      <c r="AF168" s="286">
        <f>AF159-Aprekini!AF238</f>
        <v>-54163.999999999993</v>
      </c>
      <c r="AG168" s="286">
        <f>AG159-Aprekini!AG238</f>
        <v>0</v>
      </c>
      <c r="AH168" s="286">
        <f>AH159-Aprekini!AH238</f>
        <v>0</v>
      </c>
      <c r="AI168" s="286">
        <f>AI159-Aprekini!AI238</f>
        <v>0</v>
      </c>
    </row>
    <row r="170" spans="2:35" x14ac:dyDescent="0.2">
      <c r="D170" s="287"/>
    </row>
    <row r="171" spans="2:35" x14ac:dyDescent="0.2">
      <c r="D171" s="287"/>
    </row>
    <row r="172" spans="2:35" x14ac:dyDescent="0.2">
      <c r="D172" s="287"/>
    </row>
  </sheetData>
  <sheetProtection algorithmName="SHA-512" hashValue="3tojH8Z/09l0ejJwNYSbRTCZaCjT+fN2Wzo7aaYr7gvD66WvMZWsBMu0ld+vC3XRnU/CJtZzxl8BSsWgYDpNuQ==" saltValue="ntPxhd9z4ii+3hSXxIkHBA==" spinCount="100000" sheet="1" objects="1" scenarios="1"/>
  <mergeCells count="3">
    <mergeCell ref="I107:L107"/>
    <mergeCell ref="I108:L108"/>
    <mergeCell ref="A1:E1"/>
  </mergeCells>
  <phoneticPr fontId="2" type="noConversion"/>
  <dataValidations count="1">
    <dataValidation operator="equal" allowBlank="1" showErrorMessage="1" errorTitle="Jāievada pozitīvs skaitlis" error="Jāievada pozitīvs skaitlis" sqref="B94:AI96">
      <formula1>0</formula1>
      <formula2>0</formula2>
    </dataValidation>
  </dataValidations>
  <pageMargins left="0.59027777777777779" right="0.59027777777777779" top="0.75" bottom="0.88888888888888884" header="0.51180555555555551" footer="0.75"/>
  <pageSetup paperSize="9" scale="78" firstPageNumber="0" orientation="landscape" horizontalDpi="300" verticalDpi="300" r:id="rId1"/>
  <headerFooter alignWithMargins="0">
    <oddFooter>&amp;L&amp;A&amp;R&amp;P</oddFooter>
  </headerFooter>
  <colBreaks count="1" manualBreakCount="1">
    <brk id="19" max="1048575" man="1"/>
  </colBreaks>
  <ignoredErrors>
    <ignoredError sqref="B154:C154 D154:AI15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Datu ievade</vt:lpstr>
      <vt:lpstr>gadu šķirošana</vt:lpstr>
      <vt:lpstr>Projekta naudas plusma</vt:lpstr>
      <vt:lpstr>Kopējie pieņēmumi</vt:lpstr>
      <vt:lpstr>Ekonomiskā analīze</vt:lpstr>
      <vt:lpstr>Paskaidrojumi aprēķiniem</vt:lpstr>
      <vt:lpstr>Aprekini</vt:lpstr>
      <vt:lpstr>Līdzfinansējums</vt:lpstr>
      <vt:lpstr>Saimnieciskas pamatdarbibas NP</vt:lpstr>
      <vt:lpstr>Naudas plusma</vt:lpstr>
      <vt:lpstr>Ilgtermina saistibas</vt:lpstr>
      <vt:lpstr>Iedzivotaju maksatspeja</vt:lpstr>
      <vt:lpstr>Jutiguma_analize</vt:lpstr>
      <vt:lpstr>Kriteriji</vt:lpstr>
      <vt:lpstr>Excel_BuiltIn_Print_Area_2</vt:lpstr>
      <vt:lpstr>Excel_BuiltIn_Print_Area_8</vt:lpstr>
      <vt:lpstr>Excel_BuiltIn_Print_Titles_9</vt:lpstr>
      <vt:lpstr>Aprekini!Print_Area</vt:lpstr>
      <vt:lpstr>'Iedzivotaju maksatspeja'!Print_Area</vt:lpstr>
      <vt:lpstr>'Ilgtermina saistibas'!Print_Area</vt:lpstr>
      <vt:lpstr>'Naudas plusma'!Print_Area</vt:lpstr>
      <vt:lpstr>'Paskaidrojumi aprēķiniem'!Print_Area</vt:lpstr>
      <vt:lpstr>'Saimnieciskas pamatdarbibas NP'!Print_Area</vt:lpstr>
      <vt:lpstr>Aprekini!Print_Titles</vt:lpstr>
      <vt:lpstr>'Ilgtermina saistibas'!Print_Titles</vt:lpstr>
      <vt:lpstr>'Naudas plusma'!Print_Titles</vt:lpstr>
      <vt:lpstr>'Saimnieciskas pamatdarbibas NP'!Print_Titles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Inese</dc:creator>
  <cp:lastModifiedBy>Sandra Beļavska</cp:lastModifiedBy>
  <cp:lastPrinted>2015-09-08T16:26:00Z</cp:lastPrinted>
  <dcterms:created xsi:type="dcterms:W3CDTF">2009-03-01T09:15:33Z</dcterms:created>
  <dcterms:modified xsi:type="dcterms:W3CDTF">2020-06-01T08:38:13Z</dcterms:modified>
</cp:coreProperties>
</file>