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filterPrivacy="1" defaultThemeVersion="124226"/>
  <xr:revisionPtr revIDLastSave="0" documentId="13_ncr:1_{381C956D-58CC-4E7C-B9DA-22B15CBAF42B}" xr6:coauthVersionLast="36" xr6:coauthVersionMax="45" xr10:uidLastSave="{00000000-0000-0000-0000-000000000000}"/>
  <bookViews>
    <workbookView xWindow="0" yWindow="0" windowWidth="23040" windowHeight="9060" activeTab="2"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calcPr calcId="191029"/>
</workbook>
</file>

<file path=xl/calcChain.xml><?xml version="1.0" encoding="utf-8"?>
<calcChain xmlns="http://schemas.openxmlformats.org/spreadsheetml/2006/main">
  <c r="B17" i="7" l="1"/>
  <c r="B8" i="7"/>
  <c r="B27" i="7"/>
  <c r="B6" i="7"/>
  <c r="B7" i="7"/>
  <c r="D29" i="7"/>
  <c r="B25" i="7"/>
  <c r="B26" i="7"/>
  <c r="B21" i="9"/>
  <c r="B22" i="9"/>
  <c r="B8" i="9"/>
  <c r="H25" i="1"/>
  <c r="H27" i="1"/>
  <c r="H8" i="1"/>
  <c r="F10" i="1"/>
  <c r="H10" i="1"/>
  <c r="H7" i="1"/>
  <c r="H15" i="1"/>
  <c r="B10" i="1"/>
  <c r="B17" i="1"/>
  <c r="E45" i="7"/>
  <c r="F34" i="7"/>
  <c r="F35" i="7"/>
  <c r="F36" i="7"/>
  <c r="F37" i="7"/>
  <c r="F38" i="7"/>
  <c r="F39" i="7"/>
  <c r="F40" i="7"/>
  <c r="F41" i="7"/>
  <c r="F42" i="7"/>
  <c r="F33" i="7"/>
  <c r="G45" i="7"/>
  <c r="E46" i="7"/>
  <c r="E47" i="7"/>
  <c r="E44" i="7"/>
  <c r="B31" i="7"/>
  <c r="D47" i="7"/>
  <c r="D44" i="7"/>
  <c r="D42" i="7"/>
  <c r="D41" i="7"/>
  <c r="D40" i="7"/>
  <c r="D39" i="7"/>
  <c r="D38" i="7"/>
  <c r="D37" i="7"/>
  <c r="D36" i="7"/>
  <c r="D35" i="7"/>
  <c r="D34" i="7"/>
  <c r="D33" i="7"/>
  <c r="B12" i="7"/>
  <c r="B11" i="7"/>
  <c r="B10" i="7"/>
  <c r="B1" i="2"/>
  <c r="D28" i="1"/>
  <c r="D20" i="1"/>
  <c r="D12" i="1"/>
  <c r="D25" i="1"/>
  <c r="D17" i="1"/>
  <c r="D16" i="1"/>
  <c r="D8" i="1"/>
  <c r="B18" i="1"/>
  <c r="D18" i="1"/>
  <c r="D10" i="1"/>
  <c r="B9" i="1"/>
  <c r="D9" i="1"/>
  <c r="H31" i="1"/>
  <c r="H24" i="1"/>
  <c r="H19" i="1"/>
  <c r="H11" i="1"/>
  <c r="C27" i="7"/>
  <c r="C26" i="7"/>
  <c r="B1" i="9"/>
  <c r="B1" i="8"/>
  <c r="C12" i="9"/>
  <c r="C11" i="9"/>
  <c r="C5" i="8"/>
  <c r="C6" i="8"/>
  <c r="C10" i="7"/>
  <c r="D10" i="7"/>
  <c r="C7" i="7"/>
  <c r="C8" i="7"/>
  <c r="D19" i="1"/>
  <c r="D11" i="1"/>
  <c r="D24" i="1"/>
  <c r="D15" i="1"/>
  <c r="D31" i="1"/>
  <c r="D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7" authorId="0" shapeId="0" xr:uid="{00000000-0006-0000-0000-000001000000}">
      <text>
        <r>
          <rPr>
            <b/>
            <sz val="9"/>
            <color indexed="81"/>
            <rFont val="Tahoma"/>
            <family val="2"/>
            <charset val="186"/>
          </rPr>
          <t>Author:</t>
        </r>
        <r>
          <rPr>
            <sz val="9"/>
            <color indexed="81"/>
            <rFont val="Tahoma"/>
            <family val="2"/>
            <charset val="186"/>
          </rPr>
          <t xml:space="preserve">
Aprēķina princips:
4.kārtas 2897iedz./54km*15km=~749 iedz.
749iedz./2.7(t.i. 4.kārtas TEP mājs.vid.)*3.2 (2020.01.01. aprēķinātais mājs.vid. sask. ar PMLP datiem)=~944 iedz.
</t>
        </r>
      </text>
    </comment>
  </commentList>
</comments>
</file>

<file path=xl/sharedStrings.xml><?xml version="1.0" encoding="utf-8"?>
<sst xmlns="http://schemas.openxmlformats.org/spreadsheetml/2006/main" count="272" uniqueCount="196">
  <si>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</si>
  <si>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</si>
  <si>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</si>
  <si>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</si>
  <si>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</si>
  <si>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</si>
  <si>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</si>
  <si>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</si>
  <si>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</si>
  <si>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</si>
  <si>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</si>
  <si>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</si>
  <si>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</si>
  <si>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</si>
  <si>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</si>
  <si>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</si>
  <si>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</si>
  <si>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</si>
  <si>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</si>
  <si>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</si>
  <si>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</si>
  <si>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</si>
  <si>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</si>
  <si>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</si>
  <si>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</si>
  <si>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</si>
  <si>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</si>
  <si>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</si>
  <si>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</si>
  <si>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</si>
  <si>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</si>
  <si>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</si>
  <si>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</si>
  <si>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</si>
  <si>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</si>
  <si>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</si>
  <si>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</si>
  <si>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</si>
  <si>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</si>
  <si>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</si>
  <si>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</si>
  <si>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</si>
  <si>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</si>
  <si>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</si>
  <si>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</si>
  <si>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</si>
  <si>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</si>
  <si>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</si>
  <si>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</si>
  <si>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</si>
  <si>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</si>
  <si>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</si>
  <si>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</si>
  <si>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</si>
  <si>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</si>
  <si>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</si>
  <si>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</si>
  <si>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</si>
  <si>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</si>
  <si>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</si>
  <si>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</si>
  <si>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</si>
  <si>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</si>
  <si>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</si>
  <si>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</si>
  <si>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</si>
  <si>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</si>
  <si>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</si>
  <si>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</si>
  <si>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</si>
  <si>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</si>
  <si>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</si>
  <si>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</si>
  <si>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</si>
  <si>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</si>
  <si>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</si>
  <si>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</si>
  <si>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</si>
  <si>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</si>
  <si>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</si>
  <si>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</si>
  <si>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</si>
  <si>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</si>
  <si>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</si>
  <si>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</si>
  <si>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</si>
  <si>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</si>
  <si>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</si>
  <si>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</si>
  <si>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</si>
  <si>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</si>
  <si>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</si>
  <si>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</si>
  <si>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</si>
  <si>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</si>
  <si>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</si>
  <si>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</si>
  <si>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</si>
  <si>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</si>
  <si>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</si>
  <si>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</si>
  <si>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</si>
  <si>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</si>
  <si>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</si>
  <si>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</si>
  <si>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</si>
  <si>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</si>
  <si>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</si>
  <si>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</si>
  <si>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</si>
  <si>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</si>
  <si>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</si>
  <si>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</si>
  <si>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</si>
  <si>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</si>
  <si>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</si>
  <si>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</si>
  <si>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</si>
  <si>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</si>
  <si>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</si>
  <si>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</si>
  <si>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</si>
  <si>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</si>
  <si>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</si>
  <si>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</si>
  <si>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</si>
  <si>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</si>
  <si>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</si>
  <si>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</si>
  <si>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</si>
  <si>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</si>
  <si>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</si>
  <si>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</si>
  <si>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</si>
  <si>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</si>
  <si>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</si>
  <si>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</si>
  <si>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</si>
  <si>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</si>
  <si>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</si>
  <si>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</si>
  <si>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</si>
  <si>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n/a</t>
  </si>
  <si>
    <t>AS "Mārupes komunālie pakalpojumi"</t>
  </si>
  <si>
    <r>
      <t xml:space="preserve">Mārupes novada dome SAISTOŠIE NOTEIKUMI Nr. 47/2016 "Par Mārupes novada pašvaldības līdzfinansējuma piešķiršanu dzīvojamo māju pieslēgšanai
centralizētajai kanalizācijas sistēmai"
</t>
    </r>
    <r>
      <rPr>
        <b/>
        <i/>
        <sz val="11"/>
        <color theme="1"/>
        <rFont val="Calibri"/>
        <family val="2"/>
        <charset val="186"/>
        <scheme val="minor"/>
      </rPr>
      <t>Atbalsts sniegts 118  mājsaimniecībām</t>
    </r>
  </si>
  <si>
    <t>Mārupes aglomerācija  (Mārupes, Tīraines, Vētras un Jaunmārupes ciemati)</t>
  </si>
  <si>
    <t>SAISTOŠIE NOTEIKUMI Nr. 17/2018 "Par decentralizēto kanalizācijas pakalpojumu sniegšanas un uzskaites kārtību
Mārupes novadā"</t>
  </si>
  <si>
    <t>2021.gada 31.decembris</t>
  </si>
  <si>
    <t>Mārupes novada Pašvaldības īpašumu pārvalde</t>
  </si>
  <si>
    <t xml:space="preserve">Reģistrs ir ieviests un publiski pieejams Mārupes novada pašvaldības mājaslapā, sadaļas "Sabiedrība" apakšsadaļā "Vide un infrastruktūra".
Hipersaite: https://www.marupe.lv/lv/sabiedriba/vide-un-infrastruktura/asenizacijas-pakalpojumi/asenizacijas-komersantu-registrs </t>
  </si>
  <si>
    <t>AS “Mārupes komunālie pakalpojumi”
Vidēja termiņa darbības stratēģija 2015 - 2020. gadam. Apstiprināta AS "Mārupes komunālie pakalpojumi" valdes sēdē 26.11.2019. Apstiprinājis valdes loceklis Ivars Punculis.</t>
  </si>
  <si>
    <t>Turpmākajos gados plānota aglomerācijas robežu paplašināšana</t>
  </si>
  <si>
    <t>Notekūdeņu aglomerācija iekļauta Mārupes novada teritorijas plānojumā ar Mārupes novada Domes 2019.gada 25.septembra  lēmumu Nr. 11 “Par Mārupes novada Teritorijas plānojuma 2014.-2026.gadam grozījumu apstiprināšanu” un saistošo noteikumu Nr.19/2019 “Mārupes novada Teritorijas plānojuma 2014.-2026.gadam ar 2019.gada grozījumiem Teritorijas izmantošanas un apbūves noteikumi un Grafiskā daļa” pieņemšanu.
2020.gada 22.janvārī Mārupes novada Domes ārkārtas sēdē pieņemts lēmums Nr.1 "Par Mārupes novada domes 2019.gada 25.septembra saistošo noteikumu Nr.19/2019 “Mārupes novada Teritorijas plānojuma 2014. - 2026. gadam ar 2019.gada grozījumiem Teritorijas izmantošanas un apbūves noteikumi un Grafiskā daļa” atcelšanu un Mārupes novada Teritorijas plānojuma 2014.-2026.gadam grozījumu pilnveidošanu".</t>
  </si>
  <si>
    <t>AS "Mārupes komunālie paklapojumi"</t>
  </si>
  <si>
    <t>Mārupes novada Domes  2014.gada 27.augusta lēmums Nr.21 par AS "Mārupes komunāie pakalpojumi" aktualizētās komunālo notekūdeņu centralizētās savākšanas aglomerācijas principiālās shēmas apstiprināšanu.</t>
  </si>
  <si>
    <t>Liepkalnu iela 11, Mārupe (urbums nr.6)</t>
  </si>
  <si>
    <t>Upleju iela 4, Mārupe (urbums nr.7)</t>
  </si>
  <si>
    <t>Viršu iela 21, Mārupe (urbums nr.8)</t>
  </si>
  <si>
    <t>Loka ceļš 58, Jaunmārupe (urbums nr.9)</t>
  </si>
  <si>
    <t>Ozolu iela 2, Jaunmārupe (urbums nr.10)</t>
  </si>
  <si>
    <t>Kantora iela 97, Mārupe (urbums nr.1)</t>
  </si>
  <si>
    <t>Kantora iela 97, Mārupe (urbums nr.2)</t>
  </si>
  <si>
    <t>Kantora iela 97, Mārupe (urbums nr.3)</t>
  </si>
  <si>
    <t>Kantora iela 97, Mārupe (urbums nr.4)</t>
  </si>
  <si>
    <t>Kantora iela 97, Mārupe (urbums nr.5)</t>
  </si>
  <si>
    <t>Kantora iela 97, Mārupe</t>
  </si>
  <si>
    <t>Upleju iela 4, Mārupe</t>
  </si>
  <si>
    <t>Mazcenu aleja 1, Jaunmārupe (ūdenstornis)</t>
  </si>
  <si>
    <t>Mazcenu aleja 1, Jaunmārupe</t>
  </si>
  <si>
    <t>Viršu iela 21, Mārupe</t>
  </si>
  <si>
    <t>Kantora iela 97, Mārupe (rezervuārs)</t>
  </si>
  <si>
    <t>Liepkalnu iela, Mārupe (ūdenstornis)</t>
  </si>
  <si>
    <t>Kredītsaistību termiņš  līdz 20.07.2032.
Atmaksājamā summa gadā: 70856 EUR</t>
  </si>
  <si>
    <t>AS "Mārupes komunālie pakalpojumi" ir izveidotas divas pastāvīgas  ūdenssaimniecības tīklu infrastruktūras uzturēšanas brigādes, kuras ikdienā veic sistēmas uzturēšanas darbus. Infrastruktūras uzturēšanas izmaksas ir iekļautas kanalizācijas pakalpojuma tarifā.</t>
  </si>
  <si>
    <t>AS "Mārupes komunālie pakalpojumi" ir izstrādāta Vidēja termiņa darbības stratēģija 2015 - 2020.gadam, kā arī ikgadējasi attīstības plāns, kurā iekļautas arī izmaksas notekūdeņu sistēmas pamatlīdzekļu uzturēšanai, atjaunošanai un paplašināšanai.</t>
  </si>
  <si>
    <t>AS "Mārupes komunālie pakalpojumi" ir izstrādāta Vidēja termiņa darbības stratēģija 2015 - 2020.gadam, kā arī ikgadējasi attīstības plāns, kurā iekļautas arī izmaksas ūdensapgādes sistēmas pamatlīdzekļu uzturēšanai, atjaunošanai un paplašināšanai.</t>
  </si>
  <si>
    <t>Kanalizācijas sistēmas infrastruktūras uzturēšanas izmaksas ir iekļautas pakalpojumu tarifā, kuru ar 2018.gada 21.jūnija lēmumu Nr.70 apstiprinājusi Sabiedrisko pakalpojumu regulēšanas komisija. Šobrīd uzņēmums sekmīgi veic saimniecisko darbību un spēj uzturēt notekūdēnu infrastruktūru.</t>
  </si>
  <si>
    <t>Ūdensapgādes sistēmas infrastruktūras uzturēšanas izmaksas ir iekļautas pakalpojumu tarifā, kuru ar 2018.gada 21.jūnija lēmumu Nr.70 apstiprinājusi Sabiedrisko pakalpojumu regulēšanas komisija. Šobrīd uzņēmums sekmīgi veic saimniecisko darbību un spēj uzturēt ūdensapgādes infrastruktūru.</t>
  </si>
  <si>
    <t>Ūdens uzglabāšanas iekārtās atsevišķa uzskaite netiek veikta, kopējais elektroenerģijas patērīņš ūdens sagatavošanas iekārtām un tām piesaistītajiem  rezervuāriem norādīts sadaļā "Ūdens sagatavošanas iekārtas"</t>
  </si>
  <si>
    <t>Urbumos atsevišķa uzskaite netiek veikta, kopējais elektroenerģijas patērīņš ūdens sagatavošanas iekārtām un tām piesaistītajiem urbumiem norādīts sadaļā "Ūdens sagatavošanas iekārtas"</t>
  </si>
  <si>
    <r>
      <t xml:space="preserve">Kopējie kanalizācijas jomas ieņēmumi </t>
    </r>
    <r>
      <rPr>
        <b/>
        <sz val="11"/>
        <color rgb="FFFF0000"/>
        <rFont val="Calibri"/>
        <family val="2"/>
        <scheme val="minor"/>
      </rPr>
      <t>(2019.g)</t>
    </r>
    <r>
      <rPr>
        <b/>
        <sz val="11"/>
        <color theme="1"/>
        <rFont val="Calibri"/>
        <family val="2"/>
        <scheme val="minor"/>
      </rPr>
      <t>, EUR/gadā</t>
    </r>
  </si>
  <si>
    <r>
      <t xml:space="preserve">Kopējie kanalizācijas jomas izdevumi </t>
    </r>
    <r>
      <rPr>
        <b/>
        <sz val="11"/>
        <color rgb="FFFF0000"/>
        <rFont val="Calibri"/>
        <family val="2"/>
        <scheme val="minor"/>
      </rPr>
      <t>(2019.g.)</t>
    </r>
    <r>
      <rPr>
        <b/>
        <sz val="11"/>
        <color theme="1"/>
        <rFont val="Calibri"/>
        <family val="2"/>
        <scheme val="minor"/>
      </rPr>
      <t>, EUR/gadā</t>
    </r>
  </si>
  <si>
    <t>60 (195)*</t>
  </si>
  <si>
    <t>295 (950)*</t>
  </si>
  <si>
    <t>Piezīme: Ņemo vērā, ka 2018.gada 1.augustā stājās spēkā jaunais kanalizāciajs pakalpojuma tarifs, 2018.gada finanšu dati neatspoguļo patieso situāciju uzņēmumā. Provizoriskie aprēķini parāda, ka 2019.gadā kopējie kanalizācijas jomas ieņēmumi pārsniedz izdevumus.</t>
  </si>
  <si>
    <r>
      <t>Piezīme: dati par 2019.gadu.
Rindā "Asenizācijas transportu nodotais apjoms" norādīts tikai AS "Mārupes komunālie pakalpojumi" sniegtais asenizācijas paklapojumu apjoms, m</t>
    </r>
    <r>
      <rPr>
        <i/>
        <vertAlign val="superscript"/>
        <sz val="11"/>
        <color theme="1"/>
        <rFont val="Calibri"/>
        <family val="2"/>
        <charset val="186"/>
        <scheme val="minor"/>
      </rPr>
      <t>3</t>
    </r>
    <r>
      <rPr>
        <i/>
        <sz val="11"/>
        <color theme="1"/>
        <rFont val="Calibri"/>
        <family val="2"/>
        <charset val="186"/>
        <scheme val="minor"/>
      </rPr>
      <t>.</t>
    </r>
  </si>
  <si>
    <t>Piezīme: Pēc projekta "Ūdensaimniecības pakalpojumu attīstība Mārupē, 4.kārta" ietvaros plānoto aktivitāšu īstenošanas, līdz 2023.gadam plānots sasniegt Pakalpojuma pieejamības rādītāju - 18014 iedzīvotāji, un pieslēgto iedzīvotāju rādītāju - 14993 iedzīvotāji</t>
  </si>
  <si>
    <t xml:space="preserve">Citi objekti 
(piem., jauni dziļurbumi, esošo tamponēšana u.c.) </t>
  </si>
  <si>
    <r>
      <t xml:space="preserve">Citi objekti 
(piem., jauni dziļurbumi, esošo tamponēšana u.c.)
</t>
    </r>
    <r>
      <rPr>
        <b/>
        <i/>
        <sz val="10"/>
        <color theme="1"/>
        <rFont val="Calibri"/>
        <family val="2"/>
        <charset val="186"/>
        <scheme val="minor"/>
      </rPr>
      <t>Jauni dziļurbumi</t>
    </r>
  </si>
  <si>
    <t>2, katrs ar jaudu 10 (l/s)</t>
  </si>
  <si>
    <t>Jaunas sagatavošanas stacijas izbūve ar jaudu 1000 m3/dnn</t>
  </si>
  <si>
    <t xml:space="preserve">Piezīme: Ņemot vērā iedzīvotāju pieauguma prognozes, kā arī Bieriņu purva Mārupē un tam piegulošo teritoriju attīstības prognozes, ūdensapgādes pakalpojuma kvalitatīvai nodrošināšanai nepieciešama jauna ūdens sagatavošanas kompleksa izbūve Mārupes novada Vētras ciema rajonā, kas ietver ūdens sagatavošanas staciju, spiediena nodrošināšanas staciju un 2 jaunus dziļurbumus. </t>
  </si>
  <si>
    <t>Piezīme: Pēc projekta "Ūdensaimniecības pakalpojumu attīstība Mārupē, 4.kārta" ietvaros plānoto aktivitāšu īstenošanas, līdz 2023.gadam plānots sasniegt Pakalpojuma pieejamības rādītāju - 18769 iedzīvotāji</t>
  </si>
  <si>
    <t>Saskaņā ar CSP datiem Pierīgā - 1503,77 EUR</t>
  </si>
  <si>
    <t>km</t>
  </si>
  <si>
    <t>mājsaimniecības un juridiskie patērētāji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</si>
</sst>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6"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theme="1"/>
      <name val="Calibri"/>
      <family val="2"/>
      <scheme val="minor"/>
    </font>
    <font>
      <b/>
      <i/>
      <sz val="11"/>
      <color theme="1"/>
      <name val="Calibri"/>
      <family val="2"/>
      <charset val="186"/>
      <scheme val="minor"/>
    </font>
    <font>
      <i/>
      <sz val="9"/>
      <name val="Calibri"/>
      <family val="2"/>
      <scheme val="minor"/>
    </font>
    <font>
      <b/>
      <i/>
      <sz val="10"/>
      <color theme="1"/>
      <name val="Calibri"/>
      <family val="2"/>
      <charset val="186"/>
      <scheme val="minor"/>
    </font>
    <font>
      <sz val="9"/>
      <color indexed="81"/>
      <name val="Tahoma"/>
      <family val="2"/>
      <charset val="186"/>
    </font>
    <font>
      <b/>
      <sz val="9"/>
      <color indexed="81"/>
      <name val="Tahoma"/>
      <family val="2"/>
      <charset val="186"/>
    </font>
    <font>
      <sz val="10"/>
      <color theme="1"/>
      <name val="Calibri"/>
      <family val="2"/>
      <scheme val="minor"/>
    </font>
    <font>
      <i/>
      <vertAlign val="superscript"/>
      <sz val="11"/>
      <color theme="1"/>
      <name val="Calibri"/>
      <family val="2"/>
      <charset val="186"/>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s>
  <cellStyleXfs count="3">
    <xf numFmtId="0" fontId="0" fillId="0" borderId="0"/>
    <xf numFmtId="0" fontId="15" fillId="0" borderId="0"/>
    <xf numFmtId="9" fontId="28" fillId="0" borderId="0" applyFont="0" applyFill="0" applyBorder="0" applyAlignment="0" applyProtection="0"/>
  </cellStyleXfs>
  <cellXfs count="162">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9" fillId="0" borderId="0" xfId="0" applyFont="1" applyFill="1" applyBorder="1" applyAlignment="1">
      <alignment horizontal="center" vertical="center" wrapText="1"/>
    </xf>
    <xf numFmtId="0" fontId="0" fillId="0" borderId="0" xfId="0" applyFill="1" applyBorder="1" applyAlignment="1">
      <alignment horizontal="center"/>
    </xf>
    <xf numFmtId="0" fontId="9" fillId="3" borderId="6" xfId="0" applyFont="1" applyFill="1" applyBorder="1" applyAlignment="1">
      <alignment horizontal="center" vertical="center" wrapText="1"/>
    </xf>
    <xf numFmtId="3" fontId="0" fillId="2" borderId="1" xfId="0" applyNumberFormat="1" applyFill="1" applyBorder="1" applyAlignment="1">
      <alignment vertical="top"/>
    </xf>
    <xf numFmtId="0" fontId="6" fillId="0" borderId="3" xfId="0" applyFont="1" applyBorder="1" applyAlignment="1">
      <alignment vertical="top"/>
    </xf>
    <xf numFmtId="0" fontId="0" fillId="0" borderId="1" xfId="0" applyBorder="1" applyAlignment="1">
      <alignment vertical="top"/>
    </xf>
    <xf numFmtId="0" fontId="6" fillId="2" borderId="1" xfId="0" applyFont="1" applyFill="1" applyBorder="1" applyAlignment="1">
      <alignment vertical="top"/>
    </xf>
    <xf numFmtId="0" fontId="6" fillId="2" borderId="3" xfId="0" applyFont="1" applyFill="1" applyBorder="1" applyAlignment="1">
      <alignment vertical="top"/>
    </xf>
    <xf numFmtId="0" fontId="0" fillId="2" borderId="1" xfId="0" applyFill="1" applyBorder="1" applyAlignment="1">
      <alignment vertical="top"/>
    </xf>
    <xf numFmtId="3" fontId="6" fillId="2" borderId="1" xfId="0" applyNumberFormat="1" applyFont="1" applyFill="1" applyBorder="1" applyAlignment="1">
      <alignment vertical="top"/>
    </xf>
    <xf numFmtId="3" fontId="6" fillId="0" borderId="3" xfId="0" applyNumberFormat="1" applyFont="1" applyBorder="1" applyAlignment="1">
      <alignment vertical="top"/>
    </xf>
    <xf numFmtId="3" fontId="0" fillId="2" borderId="1" xfId="0" applyNumberFormat="1" applyFill="1" applyBorder="1" applyAlignment="1">
      <alignment horizontal="right" vertical="top"/>
    </xf>
    <xf numFmtId="0" fontId="8" fillId="2" borderId="1" xfId="0" applyFont="1" applyFill="1" applyBorder="1" applyAlignment="1">
      <alignment horizontal="center" vertical="top" wrapText="1"/>
    </xf>
    <xf numFmtId="0" fontId="7" fillId="0" borderId="1" xfId="0" applyFont="1" applyBorder="1" applyAlignment="1">
      <alignment horizontal="right" vertical="top" wrapText="1"/>
    </xf>
    <xf numFmtId="0" fontId="14" fillId="2" borderId="1" xfId="0" applyFont="1" applyFill="1" applyBorder="1" applyAlignment="1">
      <alignment horizontal="center" vertical="top" wrapText="1"/>
    </xf>
    <xf numFmtId="3" fontId="0" fillId="0" borderId="1" xfId="0" applyNumberFormat="1" applyFill="1" applyBorder="1" applyAlignment="1">
      <alignment vertical="top"/>
    </xf>
    <xf numFmtId="3" fontId="11" fillId="0" borderId="1" xfId="0" applyNumberFormat="1" applyFont="1" applyFill="1" applyBorder="1" applyAlignment="1">
      <alignment vertical="top" wrapText="1"/>
    </xf>
    <xf numFmtId="0" fontId="11" fillId="0" borderId="1" xfId="0" applyFont="1" applyBorder="1" applyAlignment="1">
      <alignment horizontal="right" vertical="top" wrapText="1"/>
    </xf>
    <xf numFmtId="0" fontId="17" fillId="0" borderId="0" xfId="0" applyFont="1" applyAlignment="1">
      <alignment horizontal="right" wrapText="1"/>
    </xf>
    <xf numFmtId="0" fontId="14" fillId="0" borderId="1" xfId="0" applyFont="1" applyFill="1" applyBorder="1" applyAlignment="1">
      <alignment horizontal="left" vertical="top" wrapText="1"/>
    </xf>
    <xf numFmtId="0" fontId="14" fillId="0" borderId="1" xfId="0" applyFont="1" applyBorder="1" applyAlignment="1">
      <alignment horizontal="left" vertical="top" wrapText="1"/>
    </xf>
    <xf numFmtId="0" fontId="11" fillId="2" borderId="1" xfId="0" applyFont="1" applyFill="1" applyBorder="1" applyAlignment="1">
      <alignment horizontal="right" vertical="top" wrapText="1"/>
    </xf>
    <xf numFmtId="10" fontId="18" fillId="2" borderId="1" xfId="0" applyNumberFormat="1" applyFont="1" applyFill="1" applyBorder="1" applyAlignment="1">
      <alignment horizontal="center" vertical="top" wrapText="1"/>
    </xf>
    <xf numFmtId="0" fontId="6"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4" fillId="0" borderId="1" xfId="0" applyFont="1" applyBorder="1" applyAlignment="1">
      <alignment horizontal="left" wrapText="1"/>
    </xf>
    <xf numFmtId="3" fontId="17"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9" fillId="2" borderId="1"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ill="1"/>
    <xf numFmtId="0" fontId="20" fillId="0" borderId="1" xfId="0" applyFont="1" applyFill="1" applyBorder="1" applyAlignment="1">
      <alignment horizontal="center" vertical="center" wrapText="1"/>
    </xf>
    <xf numFmtId="3" fontId="19" fillId="2" borderId="7" xfId="0" applyNumberFormat="1" applyFont="1" applyFill="1" applyBorder="1" applyAlignment="1">
      <alignment vertical="top"/>
    </xf>
    <xf numFmtId="3" fontId="19" fillId="2" borderId="1" xfId="0" applyNumberFormat="1" applyFont="1" applyFill="1" applyBorder="1" applyAlignment="1">
      <alignment vertical="top"/>
    </xf>
    <xf numFmtId="0" fontId="19" fillId="0" borderId="1" xfId="0" applyFont="1" applyFill="1" applyBorder="1" applyAlignment="1">
      <alignment horizontal="left" vertical="top" wrapText="1"/>
    </xf>
    <xf numFmtId="0" fontId="19" fillId="4" borderId="1" xfId="0" applyFont="1" applyFill="1" applyBorder="1" applyAlignment="1">
      <alignment horizontal="center" vertical="center" wrapText="1"/>
    </xf>
    <xf numFmtId="0" fontId="0" fillId="4" borderId="1" xfId="0" applyFill="1" applyBorder="1"/>
    <xf numFmtId="0" fontId="6" fillId="4" borderId="7" xfId="0" applyFont="1" applyFill="1" applyBorder="1" applyAlignment="1">
      <alignment vertical="top"/>
    </xf>
    <xf numFmtId="0" fontId="6" fillId="4" borderId="1" xfId="0" applyFont="1" applyFill="1" applyBorder="1" applyAlignment="1">
      <alignment vertical="top"/>
    </xf>
    <xf numFmtId="0" fontId="21" fillId="0" borderId="0" xfId="0" applyFont="1"/>
    <xf numFmtId="0" fontId="21" fillId="0" borderId="0" xfId="0" applyFont="1" applyFill="1" applyBorder="1"/>
    <xf numFmtId="0" fontId="23" fillId="0" borderId="0" xfId="0" applyFont="1" applyFill="1" applyBorder="1"/>
    <xf numFmtId="0" fontId="24" fillId="0" borderId="1" xfId="0" applyFont="1" applyFill="1" applyBorder="1" applyAlignment="1">
      <alignment horizontal="left" vertical="center" wrapText="1"/>
    </xf>
    <xf numFmtId="0" fontId="16" fillId="4" borderId="1" xfId="0" applyFont="1" applyFill="1" applyBorder="1" applyAlignment="1">
      <alignment horizontal="center" vertical="center" wrapText="1"/>
    </xf>
    <xf numFmtId="0" fontId="19" fillId="0" borderId="1" xfId="0" applyFont="1" applyBorder="1"/>
    <xf numFmtId="0" fontId="19" fillId="0" borderId="1" xfId="0" applyFont="1" applyBorder="1" applyAlignment="1">
      <alignment wrapText="1"/>
    </xf>
    <xf numFmtId="0" fontId="24" fillId="5" borderId="1" xfId="0" applyFont="1" applyFill="1" applyBorder="1" applyAlignment="1">
      <alignment horizontal="left" vertical="center" wrapText="1"/>
    </xf>
    <xf numFmtId="3" fontId="0" fillId="5" borderId="1" xfId="0" applyNumberFormat="1" applyFill="1" applyBorder="1" applyAlignment="1">
      <alignment vertical="top"/>
    </xf>
    <xf numFmtId="0" fontId="14" fillId="2" borderId="1" xfId="0" applyFont="1" applyFill="1" applyBorder="1" applyAlignment="1">
      <alignment horizontal="left" vertical="center" wrapText="1"/>
    </xf>
    <xf numFmtId="0" fontId="0" fillId="4" borderId="1" xfId="0" applyFill="1" applyBorder="1" applyAlignment="1">
      <alignment vertical="top"/>
    </xf>
    <xf numFmtId="3" fontId="0" fillId="4" borderId="1" xfId="0" applyNumberFormat="1" applyFill="1" applyBorder="1" applyAlignment="1">
      <alignment horizontal="right" vertical="top"/>
    </xf>
    <xf numFmtId="0" fontId="26" fillId="0" borderId="0" xfId="0" applyFont="1"/>
    <xf numFmtId="0" fontId="6" fillId="7" borderId="3" xfId="0" applyFont="1" applyFill="1" applyBorder="1" applyAlignment="1">
      <alignment vertical="top"/>
    </xf>
    <xf numFmtId="0" fontId="6" fillId="7" borderId="3" xfId="0" applyFont="1" applyFill="1" applyBorder="1" applyAlignment="1">
      <alignment horizontal="right" vertical="top"/>
    </xf>
    <xf numFmtId="0" fontId="26" fillId="7" borderId="0" xfId="0" applyFont="1" applyFill="1"/>
    <xf numFmtId="0" fontId="19"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4" fillId="0" borderId="1" xfId="0" applyFont="1" applyBorder="1" applyAlignment="1">
      <alignment wrapText="1"/>
    </xf>
    <xf numFmtId="0" fontId="19" fillId="0" borderId="8" xfId="0" applyFont="1" applyBorder="1" applyAlignment="1">
      <alignment wrapText="1"/>
    </xf>
    <xf numFmtId="0" fontId="6" fillId="0" borderId="13" xfId="0" applyFont="1" applyFill="1" applyBorder="1" applyAlignment="1">
      <alignment vertical="top"/>
    </xf>
    <xf numFmtId="0" fontId="19" fillId="0" borderId="8" xfId="0" applyFont="1" applyBorder="1"/>
    <xf numFmtId="0" fontId="8"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4" fillId="8" borderId="1" xfId="0" applyFont="1" applyFill="1" applyBorder="1" applyAlignment="1">
      <alignment horizontal="center" vertical="top" wrapText="1"/>
    </xf>
    <xf numFmtId="0" fontId="6" fillId="8" borderId="1" xfId="0" applyFont="1" applyFill="1" applyBorder="1" applyAlignment="1">
      <alignment vertical="top"/>
    </xf>
    <xf numFmtId="0" fontId="6" fillId="8" borderId="3" xfId="0" applyFont="1" applyFill="1" applyBorder="1" applyAlignment="1">
      <alignment vertical="top"/>
    </xf>
    <xf numFmtId="0" fontId="0" fillId="8" borderId="1" xfId="0" applyFill="1" applyBorder="1" applyAlignment="1">
      <alignment vertical="top"/>
    </xf>
    <xf numFmtId="3" fontId="6" fillId="8" borderId="1" xfId="0" applyNumberFormat="1" applyFont="1" applyFill="1" applyBorder="1" applyAlignment="1">
      <alignment vertical="top"/>
    </xf>
    <xf numFmtId="0" fontId="0" fillId="0" borderId="0" xfId="0" applyBorder="1" applyAlignment="1">
      <alignment horizontal="center" vertical="center"/>
    </xf>
    <xf numFmtId="0" fontId="6" fillId="0" borderId="0" xfId="0" applyFont="1" applyFill="1" applyBorder="1" applyAlignment="1">
      <alignment vertical="top"/>
    </xf>
    <xf numFmtId="3" fontId="19" fillId="2" borderId="7" xfId="0" applyNumberFormat="1" applyFont="1" applyFill="1" applyBorder="1" applyAlignment="1">
      <alignment vertical="top" wrapText="1"/>
    </xf>
    <xf numFmtId="0" fontId="10" fillId="7" borderId="1" xfId="0" applyFont="1" applyFill="1" applyBorder="1" applyAlignment="1">
      <alignment horizontal="center" vertical="center" wrapText="1"/>
    </xf>
    <xf numFmtId="0" fontId="0" fillId="0" borderId="0" xfId="0" applyFill="1" applyBorder="1"/>
    <xf numFmtId="0" fontId="10" fillId="10" borderId="1" xfId="0" applyFont="1" applyFill="1" applyBorder="1" applyAlignment="1">
      <alignment horizontal="left" vertical="center" wrapText="1"/>
    </xf>
    <xf numFmtId="0" fontId="19" fillId="10" borderId="1" xfId="0" applyFont="1" applyFill="1" applyBorder="1" applyAlignment="1">
      <alignment horizontal="left" vertical="center" wrapText="1"/>
    </xf>
    <xf numFmtId="2" fontId="0" fillId="0" borderId="0" xfId="2" applyNumberFormat="1" applyFont="1"/>
    <xf numFmtId="2" fontId="0" fillId="0" borderId="0" xfId="0" applyNumberFormat="1"/>
    <xf numFmtId="4" fontId="6" fillId="4" borderId="1" xfId="0" applyNumberFormat="1" applyFont="1" applyFill="1" applyBorder="1" applyAlignment="1">
      <alignment vertical="top"/>
    </xf>
    <xf numFmtId="0" fontId="0" fillId="0" borderId="4" xfId="0" applyBorder="1" applyAlignment="1">
      <alignment horizontal="center" vertical="center" wrapText="1"/>
    </xf>
    <xf numFmtId="3" fontId="17" fillId="4" borderId="1" xfId="0" applyNumberFormat="1" applyFont="1" applyFill="1" applyBorder="1" applyAlignment="1">
      <alignment horizontal="right" wrapText="1"/>
    </xf>
    <xf numFmtId="9" fontId="0" fillId="4" borderId="1" xfId="2" applyFont="1" applyFill="1" applyBorder="1" applyAlignment="1">
      <alignment horizontal="right" vertical="top"/>
    </xf>
    <xf numFmtId="4" fontId="0" fillId="4" borderId="1" xfId="0" applyNumberFormat="1" applyFill="1" applyBorder="1" applyAlignment="1">
      <alignment vertical="top"/>
    </xf>
    <xf numFmtId="0" fontId="19" fillId="0" borderId="1" xfId="0" applyFont="1" applyBorder="1" applyAlignment="1">
      <alignment vertical="center" wrapText="1"/>
    </xf>
    <xf numFmtId="0" fontId="19" fillId="0" borderId="1" xfId="0" applyFont="1" applyFill="1" applyBorder="1" applyAlignment="1">
      <alignment vertical="center" wrapText="1"/>
    </xf>
    <xf numFmtId="0" fontId="24" fillId="0" borderId="1" xfId="0" applyFont="1" applyBorder="1" applyAlignment="1">
      <alignment horizontal="left" vertical="center" wrapText="1"/>
    </xf>
    <xf numFmtId="0" fontId="30" fillId="0"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23" fillId="0" borderId="0" xfId="0" applyFont="1" applyAlignment="1">
      <alignment wrapText="1"/>
    </xf>
    <xf numFmtId="0" fontId="24" fillId="0" borderId="1" xfId="0" applyFont="1" applyBorder="1" applyAlignment="1">
      <alignment vertical="center" wrapText="1"/>
    </xf>
    <xf numFmtId="0" fontId="6" fillId="4" borderId="1" xfId="0" applyFont="1" applyFill="1" applyBorder="1" applyAlignment="1">
      <alignment vertical="top" wrapText="1"/>
    </xf>
    <xf numFmtId="0" fontId="0" fillId="0" borderId="0" xfId="0" applyBorder="1" applyAlignment="1">
      <alignment wrapText="1"/>
    </xf>
    <xf numFmtId="10" fontId="0" fillId="4" borderId="1" xfId="2" applyNumberFormat="1" applyFont="1" applyFill="1" applyBorder="1" applyAlignment="1">
      <alignment vertical="top"/>
    </xf>
    <xf numFmtId="0" fontId="0" fillId="4" borderId="0" xfId="0" applyFill="1" applyAlignment="1">
      <alignment wrapText="1"/>
    </xf>
    <xf numFmtId="164" fontId="0" fillId="4" borderId="1" xfId="0" applyNumberFormat="1" applyFill="1" applyBorder="1" applyAlignment="1">
      <alignment vertical="top" wrapText="1"/>
    </xf>
    <xf numFmtId="3" fontId="34" fillId="0" borderId="1" xfId="0" applyNumberFormat="1" applyFont="1" applyBorder="1" applyAlignment="1">
      <alignment vertical="top" wrapText="1"/>
    </xf>
    <xf numFmtId="3" fontId="0" fillId="4" borderId="1" xfId="0" applyNumberFormat="1" applyFill="1" applyBorder="1" applyAlignment="1">
      <alignment horizontal="left" vertical="center" wrapText="1"/>
    </xf>
    <xf numFmtId="0" fontId="5" fillId="9" borderId="8" xfId="0" applyFont="1" applyFill="1" applyBorder="1" applyAlignment="1">
      <alignment horizontal="center" wrapText="1"/>
    </xf>
    <xf numFmtId="0" fontId="5" fillId="9" borderId="9" xfId="0" applyFont="1" applyFill="1" applyBorder="1" applyAlignment="1">
      <alignment horizontal="center" wrapText="1"/>
    </xf>
    <xf numFmtId="0" fontId="12" fillId="0" borderId="0" xfId="0" applyFont="1" applyBorder="1" applyAlignment="1">
      <alignment horizontal="left" wrapText="1"/>
    </xf>
    <xf numFmtId="0" fontId="7" fillId="0" borderId="7" xfId="0" applyFont="1" applyBorder="1" applyAlignment="1">
      <alignment horizontal="right" vertical="top" wrapText="1"/>
    </xf>
    <xf numFmtId="0" fontId="7" fillId="0" borderId="2" xfId="0" applyFont="1" applyBorder="1" applyAlignment="1">
      <alignment horizontal="right" vertical="top" wrapText="1"/>
    </xf>
    <xf numFmtId="0" fontId="6" fillId="4" borderId="7" xfId="0" applyFont="1" applyFill="1" applyBorder="1" applyAlignment="1">
      <alignment horizontal="right" vertical="top"/>
    </xf>
    <xf numFmtId="0" fontId="6" fillId="4" borderId="2" xfId="0" applyFont="1" applyFill="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0" fontId="6" fillId="0" borderId="14" xfId="0" applyFont="1" applyBorder="1" applyAlignment="1">
      <alignment horizontal="right" vertical="top"/>
    </xf>
    <xf numFmtId="0" fontId="6" fillId="0" borderId="15" xfId="0" applyFont="1" applyBorder="1" applyAlignment="1">
      <alignment horizontal="right" vertical="top"/>
    </xf>
    <xf numFmtId="164" fontId="6" fillId="4" borderId="7" xfId="0" applyNumberFormat="1" applyFont="1" applyFill="1" applyBorder="1" applyAlignment="1">
      <alignment horizontal="right" vertical="top"/>
    </xf>
    <xf numFmtId="164" fontId="6" fillId="4" borderId="2" xfId="0" applyNumberFormat="1" applyFont="1" applyFill="1" applyBorder="1" applyAlignment="1">
      <alignment horizontal="right" vertical="top"/>
    </xf>
    <xf numFmtId="3" fontId="6" fillId="0" borderId="14" xfId="0" applyNumberFormat="1" applyFont="1" applyBorder="1" applyAlignment="1">
      <alignment horizontal="right" vertical="top"/>
    </xf>
    <xf numFmtId="3" fontId="6" fillId="0" borderId="15" xfId="0" applyNumberFormat="1" applyFont="1" applyBorder="1" applyAlignment="1">
      <alignment horizontal="right" vertical="top"/>
    </xf>
    <xf numFmtId="0" fontId="10" fillId="9" borderId="1" xfId="0" applyFont="1" applyFill="1" applyBorder="1" applyAlignment="1">
      <alignment horizontal="center" vertical="center" wrapText="1"/>
    </xf>
    <xf numFmtId="0" fontId="5" fillId="8" borderId="1" xfId="0" applyFont="1" applyFill="1" applyBorder="1" applyAlignment="1">
      <alignment horizontal="center" vertical="center" wrapText="1"/>
    </xf>
    <xf numFmtId="49" fontId="5" fillId="8" borderId="1" xfId="0" applyNumberFormat="1" applyFont="1" applyFill="1" applyBorder="1" applyAlignment="1">
      <alignment horizontal="center" vertical="center" wrapText="1"/>
    </xf>
    <xf numFmtId="0" fontId="5" fillId="9" borderId="1" xfId="0" applyFont="1" applyFill="1" applyBorder="1" applyAlignment="1">
      <alignment horizontal="center" wrapText="1"/>
    </xf>
    <xf numFmtId="0" fontId="6" fillId="0" borderId="7" xfId="0" applyFont="1" applyBorder="1" applyAlignment="1">
      <alignment horizontal="center" vertical="top" wrapText="1"/>
    </xf>
    <xf numFmtId="0" fontId="6" fillId="0" borderId="11" xfId="0" applyFont="1" applyBorder="1" applyAlignment="1">
      <alignment horizontal="center" vertical="top" wrapText="1"/>
    </xf>
    <xf numFmtId="0" fontId="6" fillId="0" borderId="2" xfId="0" applyFont="1" applyBorder="1" applyAlignment="1">
      <alignment horizontal="center" vertical="top" wrapText="1"/>
    </xf>
    <xf numFmtId="0" fontId="5" fillId="3" borderId="1" xfId="0" applyFont="1" applyFill="1" applyBorder="1" applyAlignment="1">
      <alignment horizontal="center" wrapText="1"/>
    </xf>
    <xf numFmtId="0" fontId="5" fillId="3" borderId="8" xfId="0" applyFont="1" applyFill="1" applyBorder="1" applyAlignment="1">
      <alignment horizontal="center" wrapText="1"/>
    </xf>
    <xf numFmtId="0" fontId="5" fillId="3" borderId="9" xfId="0" applyFont="1" applyFill="1" applyBorder="1" applyAlignment="1">
      <alignment horizontal="center" wrapText="1"/>
    </xf>
    <xf numFmtId="0" fontId="0" fillId="4" borderId="4" xfId="0" applyFill="1" applyBorder="1" applyAlignment="1">
      <alignment horizontal="center" vertical="center" wrapText="1"/>
    </xf>
    <xf numFmtId="0" fontId="0" fillId="4" borderId="5" xfId="0" applyFill="1" applyBorder="1" applyAlignment="1">
      <alignment horizontal="center" vertical="center" wrapText="1"/>
    </xf>
    <xf numFmtId="0" fontId="10" fillId="3"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0" fillId="0" borderId="0" xfId="0" applyAlignment="1">
      <alignment horizont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20" fillId="4" borderId="7" xfId="0"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20" fillId="4" borderId="16" xfId="0" applyFont="1" applyFill="1" applyBorder="1" applyAlignment="1">
      <alignment horizontal="center" vertical="center" wrapText="1"/>
    </xf>
    <xf numFmtId="0" fontId="20" fillId="4" borderId="17"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0" xfId="0" applyFont="1" applyFill="1" applyBorder="1" applyAlignment="1">
      <alignment horizontal="center" vertical="center" wrapText="1"/>
    </xf>
    <xf numFmtId="3" fontId="11" fillId="0" borderId="1" xfId="0" applyNumberFormat="1" applyFont="1" applyFill="1" applyBorder="1" applyAlignment="1">
      <alignment horizontal="left" vertical="top" wrapText="1"/>
    </xf>
    <xf numFmtId="0" fontId="0" fillId="0" borderId="4" xfId="0" applyBorder="1" applyAlignment="1">
      <alignment horizontal="center" vertical="center"/>
    </xf>
    <xf numFmtId="0" fontId="0" fillId="0" borderId="5" xfId="0" applyBorder="1" applyAlignment="1">
      <alignment horizontal="center" vertical="center"/>
    </xf>
    <xf numFmtId="0" fontId="14" fillId="6" borderId="12" xfId="0" applyFont="1" applyFill="1" applyBorder="1" applyAlignment="1">
      <alignment horizontal="center"/>
    </xf>
    <xf numFmtId="0" fontId="14" fillId="6" borderId="0" xfId="0" applyFont="1" applyFill="1" applyBorder="1" applyAlignment="1">
      <alignment horizontal="center"/>
    </xf>
    <xf numFmtId="0" fontId="6" fillId="0" borderId="7"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14" xfId="0" applyFont="1" applyFill="1" applyBorder="1" applyAlignment="1">
      <alignment horizontal="center" vertical="top" wrapText="1"/>
    </xf>
    <xf numFmtId="0" fontId="6" fillId="0" borderId="15" xfId="0" applyFont="1" applyFill="1" applyBorder="1" applyAlignment="1">
      <alignment horizontal="center" vertical="top" wrapText="1"/>
    </xf>
  </cellXfs>
  <cellStyles count="3">
    <cellStyle name="Normal" xfId="0" builtinId="0"/>
    <cellStyle name="Normal 2" xfId="1" xr:uid="{00000000-0005-0000-0000-000001000000}"/>
    <cellStyle name="Percent"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2"/>
  <sheetViews>
    <sheetView zoomScale="90" zoomScaleNormal="90" zoomScaleSheetLayoutView="115" zoomScalePageLayoutView="55" workbookViewId="0">
      <selection activeCell="G27" sqref="G27"/>
    </sheetView>
  </sheetViews>
  <sheetFormatPr defaultRowHeight="14.4" x14ac:dyDescent="0.3"/>
  <cols>
    <col min="1" max="1" width="40.5546875" style="3" customWidth="1"/>
    <col min="2" max="4" width="23.6640625" customWidth="1"/>
    <col min="5" max="5" width="40.6640625" customWidth="1"/>
    <col min="6" max="6" width="23.6640625" customWidth="1"/>
    <col min="7" max="7" width="29.5546875" customWidth="1"/>
    <col min="8" max="8" width="23.6640625" customWidth="1"/>
    <col min="10" max="10" width="42.44140625" customWidth="1"/>
    <col min="11" max="11" width="22.5546875" customWidth="1"/>
  </cols>
  <sheetData>
    <row r="1" spans="1:8" ht="49.5" customHeight="1" thickBot="1" x14ac:dyDescent="0.35">
      <c r="A1" s="7" t="s">
        <v>138</v>
      </c>
      <c r="B1" s="129" t="s">
        <v>145</v>
      </c>
      <c r="C1" s="130"/>
      <c r="D1" s="130"/>
    </row>
    <row r="2" spans="1:8" ht="21.75" customHeight="1" x14ac:dyDescent="0.3">
      <c r="A2" s="5"/>
      <c r="B2" s="6"/>
      <c r="C2" s="6"/>
      <c r="D2" s="6"/>
    </row>
    <row r="3" spans="1:8" s="4" customFormat="1" ht="18" customHeight="1" x14ac:dyDescent="0.3">
      <c r="A3" s="131" t="s">
        <v>107</v>
      </c>
      <c r="B3" s="131"/>
      <c r="C3" s="131"/>
      <c r="D3" s="131"/>
      <c r="E3" s="119" t="s">
        <v>108</v>
      </c>
      <c r="F3" s="119"/>
      <c r="G3" s="119"/>
      <c r="H3" s="119"/>
    </row>
    <row r="4" spans="1:8" ht="55.5" customHeight="1" x14ac:dyDescent="0.3">
      <c r="A4" s="133" t="s">
        <v>7</v>
      </c>
      <c r="B4" s="133" t="s">
        <v>92</v>
      </c>
      <c r="C4" s="133" t="s">
        <v>123</v>
      </c>
      <c r="D4" s="132" t="s">
        <v>22</v>
      </c>
      <c r="E4" s="120" t="s">
        <v>7</v>
      </c>
      <c r="F4" s="120" t="s">
        <v>109</v>
      </c>
      <c r="G4" s="120" t="s">
        <v>9</v>
      </c>
      <c r="H4" s="121" t="s">
        <v>22</v>
      </c>
    </row>
    <row r="5" spans="1:8" ht="129" customHeight="1" x14ac:dyDescent="0.3">
      <c r="A5" s="133"/>
      <c r="B5" s="133"/>
      <c r="C5" s="133"/>
      <c r="D5" s="132"/>
      <c r="E5" s="120"/>
      <c r="F5" s="120"/>
      <c r="G5" s="120"/>
      <c r="H5" s="121"/>
    </row>
    <row r="6" spans="1:8" x14ac:dyDescent="0.3">
      <c r="A6" s="126" t="s">
        <v>18</v>
      </c>
      <c r="B6" s="126"/>
      <c r="C6" s="126"/>
      <c r="D6" s="126"/>
      <c r="E6" s="122" t="s">
        <v>128</v>
      </c>
      <c r="F6" s="122"/>
      <c r="G6" s="122"/>
      <c r="H6" s="122"/>
    </row>
    <row r="7" spans="1:8" ht="46.95" customHeight="1" x14ac:dyDescent="0.3">
      <c r="A7" s="17" t="s">
        <v>19</v>
      </c>
      <c r="B7" s="8"/>
      <c r="C7" s="16" t="s">
        <v>183</v>
      </c>
      <c r="D7" s="8">
        <f>D8+D9+D10</f>
        <v>4605000</v>
      </c>
      <c r="E7" s="68" t="s">
        <v>124</v>
      </c>
      <c r="F7" s="69"/>
      <c r="G7" s="70" t="s">
        <v>182</v>
      </c>
      <c r="H7" s="69">
        <f>H8+H10</f>
        <v>582000</v>
      </c>
    </row>
    <row r="8" spans="1:8" x14ac:dyDescent="0.3">
      <c r="A8" s="18" t="s">
        <v>0</v>
      </c>
      <c r="B8" s="45">
        <v>15</v>
      </c>
      <c r="C8" s="9"/>
      <c r="D8" s="56">
        <f>B8*1000*260</f>
        <v>3900000</v>
      </c>
      <c r="E8" s="107" t="s">
        <v>113</v>
      </c>
      <c r="F8" s="109">
        <v>3</v>
      </c>
      <c r="G8" s="113"/>
      <c r="H8" s="111">
        <f>F8*1000*170</f>
        <v>510000</v>
      </c>
    </row>
    <row r="9" spans="1:8" x14ac:dyDescent="0.3">
      <c r="A9" s="18" t="s">
        <v>1</v>
      </c>
      <c r="B9" s="45">
        <f>B8*0.1</f>
        <v>1.5</v>
      </c>
      <c r="C9" s="9"/>
      <c r="D9" s="56">
        <f>B9*1000*150</f>
        <v>225000</v>
      </c>
      <c r="E9" s="108"/>
      <c r="F9" s="110"/>
      <c r="G9" s="114"/>
      <c r="H9" s="112"/>
    </row>
    <row r="10" spans="1:8" x14ac:dyDescent="0.3">
      <c r="A10" s="18" t="s">
        <v>4</v>
      </c>
      <c r="B10" s="45">
        <f>B8*1000/50*2</f>
        <v>600</v>
      </c>
      <c r="C10" s="9"/>
      <c r="D10" s="30">
        <f>B10*10*80</f>
        <v>480000</v>
      </c>
      <c r="E10" s="18" t="s">
        <v>4</v>
      </c>
      <c r="F10" s="45">
        <f>F8*1000/50*2</f>
        <v>120</v>
      </c>
      <c r="G10" s="9"/>
      <c r="H10" s="30">
        <f>F10*10*60</f>
        <v>72000</v>
      </c>
    </row>
    <row r="11" spans="1:8" ht="62.4" x14ac:dyDescent="0.3">
      <c r="A11" s="19" t="s">
        <v>21</v>
      </c>
      <c r="B11" s="11"/>
      <c r="C11" s="12"/>
      <c r="D11" s="13">
        <f>D12+D13+D14</f>
        <v>350000</v>
      </c>
      <c r="E11" s="71" t="s">
        <v>125</v>
      </c>
      <c r="F11" s="72"/>
      <c r="G11" s="73"/>
      <c r="H11" s="74">
        <f>H12+H13+H14</f>
        <v>450000</v>
      </c>
    </row>
    <row r="12" spans="1:8" x14ac:dyDescent="0.3">
      <c r="A12" s="18" t="s">
        <v>2</v>
      </c>
      <c r="B12" s="45">
        <v>7</v>
      </c>
      <c r="C12" s="9"/>
      <c r="D12" s="56">
        <f>B12*50000</f>
        <v>350000</v>
      </c>
      <c r="E12" s="18" t="s">
        <v>114</v>
      </c>
      <c r="F12" s="45">
        <v>1</v>
      </c>
      <c r="G12" s="123" t="s">
        <v>191</v>
      </c>
      <c r="H12" s="56">
        <v>100000</v>
      </c>
    </row>
    <row r="13" spans="1:8" ht="81.599999999999994" customHeight="1" x14ac:dyDescent="0.3">
      <c r="A13" s="18" t="s">
        <v>12</v>
      </c>
      <c r="B13" s="45" t="s">
        <v>142</v>
      </c>
      <c r="C13" s="9"/>
      <c r="D13" s="56">
        <v>0</v>
      </c>
      <c r="E13" s="18" t="s">
        <v>115</v>
      </c>
      <c r="F13" s="97" t="s">
        <v>190</v>
      </c>
      <c r="G13" s="124"/>
      <c r="H13" s="56">
        <v>250000</v>
      </c>
    </row>
    <row r="14" spans="1:8" ht="80.400000000000006" customHeight="1" x14ac:dyDescent="0.3">
      <c r="A14" s="18" t="s">
        <v>11</v>
      </c>
      <c r="B14" s="45" t="s">
        <v>142</v>
      </c>
      <c r="C14" s="9"/>
      <c r="D14" s="56">
        <v>0</v>
      </c>
      <c r="E14" s="18" t="s">
        <v>188</v>
      </c>
      <c r="F14" s="45" t="s">
        <v>189</v>
      </c>
      <c r="G14" s="125"/>
      <c r="H14" s="56">
        <v>100000</v>
      </c>
    </row>
    <row r="15" spans="1:8" ht="62.4" x14ac:dyDescent="0.3">
      <c r="A15" s="17" t="s">
        <v>20</v>
      </c>
      <c r="B15" s="8"/>
      <c r="C15" s="16" t="s">
        <v>23</v>
      </c>
      <c r="D15" s="8">
        <f>D16+D17+D18</f>
        <v>0</v>
      </c>
      <c r="E15" s="68" t="s">
        <v>126</v>
      </c>
      <c r="F15" s="69"/>
      <c r="G15" s="70" t="s">
        <v>23</v>
      </c>
      <c r="H15" s="69">
        <f>H16+H18</f>
        <v>0</v>
      </c>
    </row>
    <row r="16" spans="1:8" x14ac:dyDescent="0.3">
      <c r="A16" s="18" t="s">
        <v>0</v>
      </c>
      <c r="B16" s="45">
        <v>0</v>
      </c>
      <c r="C16" s="9"/>
      <c r="D16" s="56">
        <f>B16*1000*260</f>
        <v>0</v>
      </c>
      <c r="E16" s="107" t="s">
        <v>1</v>
      </c>
      <c r="F16" s="109">
        <v>0</v>
      </c>
      <c r="G16" s="113"/>
      <c r="H16" s="111">
        <v>0</v>
      </c>
    </row>
    <row r="17" spans="1:9" x14ac:dyDescent="0.3">
      <c r="A17" s="18" t="s">
        <v>1</v>
      </c>
      <c r="B17" s="45">
        <f>B16*0.1</f>
        <v>0</v>
      </c>
      <c r="C17" s="9"/>
      <c r="D17" s="56">
        <f>B17*1000*150</f>
        <v>0</v>
      </c>
      <c r="E17" s="108"/>
      <c r="F17" s="110"/>
      <c r="G17" s="114"/>
      <c r="H17" s="112"/>
    </row>
    <row r="18" spans="1:9" x14ac:dyDescent="0.3">
      <c r="A18" s="18" t="s">
        <v>4</v>
      </c>
      <c r="B18" s="45">
        <f>B16*1000/40*2</f>
        <v>0</v>
      </c>
      <c r="C18" s="9"/>
      <c r="D18" s="30">
        <f>B18*10*80</f>
        <v>0</v>
      </c>
      <c r="E18" s="18" t="s">
        <v>4</v>
      </c>
      <c r="F18" s="45">
        <v>0</v>
      </c>
      <c r="G18" s="9"/>
      <c r="H18" s="30">
        <v>0</v>
      </c>
    </row>
    <row r="19" spans="1:9" ht="78" x14ac:dyDescent="0.3">
      <c r="A19" s="19" t="s">
        <v>110</v>
      </c>
      <c r="B19" s="11"/>
      <c r="C19" s="12"/>
      <c r="D19" s="13">
        <f>D20+D21+D22</f>
        <v>0</v>
      </c>
      <c r="E19" s="71" t="s">
        <v>127</v>
      </c>
      <c r="F19" s="72"/>
      <c r="G19" s="73"/>
      <c r="H19" s="74">
        <f>H20+H21+H22</f>
        <v>0</v>
      </c>
    </row>
    <row r="20" spans="1:9" x14ac:dyDescent="0.3">
      <c r="A20" s="18" t="s">
        <v>2</v>
      </c>
      <c r="B20" s="45">
        <v>0</v>
      </c>
      <c r="C20" s="9"/>
      <c r="D20" s="56">
        <f>B20*50000</f>
        <v>0</v>
      </c>
      <c r="E20" s="18" t="s">
        <v>114</v>
      </c>
      <c r="F20" s="45">
        <v>0</v>
      </c>
      <c r="G20" s="9"/>
      <c r="H20" s="56">
        <v>0</v>
      </c>
    </row>
    <row r="21" spans="1:9" ht="41.4" x14ac:dyDescent="0.3">
      <c r="A21" s="18" t="s">
        <v>12</v>
      </c>
      <c r="B21" s="45">
        <v>0</v>
      </c>
      <c r="C21" s="9"/>
      <c r="D21" s="56">
        <v>0</v>
      </c>
      <c r="E21" s="18" t="s">
        <v>115</v>
      </c>
      <c r="F21" s="45">
        <v>0</v>
      </c>
      <c r="G21" s="9"/>
      <c r="H21" s="56">
        <v>0</v>
      </c>
    </row>
    <row r="22" spans="1:9" ht="27.6" x14ac:dyDescent="0.3">
      <c r="A22" s="18" t="s">
        <v>11</v>
      </c>
      <c r="B22" s="45">
        <v>0</v>
      </c>
      <c r="C22" s="9"/>
      <c r="D22" s="56">
        <v>0</v>
      </c>
      <c r="E22" s="18" t="s">
        <v>187</v>
      </c>
      <c r="F22" s="45">
        <v>0</v>
      </c>
      <c r="G22" s="9"/>
      <c r="H22" s="56">
        <v>0</v>
      </c>
    </row>
    <row r="23" spans="1:9" x14ac:dyDescent="0.3">
      <c r="A23" s="126" t="s">
        <v>5</v>
      </c>
      <c r="B23" s="126"/>
      <c r="C23" s="126"/>
      <c r="D23" s="126"/>
      <c r="E23" s="122" t="s">
        <v>111</v>
      </c>
      <c r="F23" s="122"/>
      <c r="G23" s="122"/>
      <c r="H23" s="122"/>
    </row>
    <row r="24" spans="1:9" ht="31.2" customHeight="1" x14ac:dyDescent="0.3">
      <c r="A24" s="19" t="s">
        <v>8</v>
      </c>
      <c r="B24" s="14"/>
      <c r="C24" s="12"/>
      <c r="D24" s="8">
        <f>SUM(D25:D29)</f>
        <v>340000</v>
      </c>
      <c r="E24" s="71" t="s">
        <v>112</v>
      </c>
      <c r="F24" s="75"/>
      <c r="G24" s="73"/>
      <c r="H24" s="69">
        <f>SUM(H25:H29)</f>
        <v>114000</v>
      </c>
      <c r="I24" t="s">
        <v>116</v>
      </c>
    </row>
    <row r="25" spans="1:9" x14ac:dyDescent="0.3">
      <c r="A25" s="18" t="s">
        <v>0</v>
      </c>
      <c r="B25" s="85">
        <v>0.25</v>
      </c>
      <c r="C25" s="15"/>
      <c r="D25" s="56">
        <f>B25*1000*260</f>
        <v>65000</v>
      </c>
      <c r="E25" s="107" t="s">
        <v>1</v>
      </c>
      <c r="F25" s="115">
        <v>0.6</v>
      </c>
      <c r="G25" s="117" t="s">
        <v>194</v>
      </c>
      <c r="H25" s="111">
        <f>F25*1000*170</f>
        <v>102000</v>
      </c>
    </row>
    <row r="26" spans="1:9" x14ac:dyDescent="0.3">
      <c r="A26" s="18" t="s">
        <v>1</v>
      </c>
      <c r="B26" s="45">
        <v>0</v>
      </c>
      <c r="C26" s="9"/>
      <c r="D26" s="56">
        <v>0</v>
      </c>
      <c r="E26" s="108"/>
      <c r="F26" s="116"/>
      <c r="G26" s="118"/>
      <c r="H26" s="112"/>
    </row>
    <row r="27" spans="1:9" x14ac:dyDescent="0.3">
      <c r="A27" s="18" t="s">
        <v>3</v>
      </c>
      <c r="B27" s="45" t="s">
        <v>142</v>
      </c>
      <c r="C27" s="9"/>
      <c r="D27" s="56">
        <v>0</v>
      </c>
      <c r="E27" s="18" t="s">
        <v>117</v>
      </c>
      <c r="F27" s="45">
        <v>20</v>
      </c>
      <c r="G27" s="9"/>
      <c r="H27" s="30">
        <f>F27*10*60</f>
        <v>12000</v>
      </c>
    </row>
    <row r="28" spans="1:9" ht="31.95" customHeight="1" x14ac:dyDescent="0.3">
      <c r="A28" s="18" t="s">
        <v>16</v>
      </c>
      <c r="B28" s="45">
        <v>5</v>
      </c>
      <c r="C28" s="9"/>
      <c r="D28" s="56">
        <f>B28*55000</f>
        <v>275000</v>
      </c>
      <c r="E28" s="107" t="s">
        <v>118</v>
      </c>
      <c r="F28" s="109"/>
      <c r="G28" s="113"/>
      <c r="H28" s="111"/>
    </row>
    <row r="29" spans="1:9" ht="31.95" customHeight="1" x14ac:dyDescent="0.3">
      <c r="A29" s="18" t="s">
        <v>88</v>
      </c>
      <c r="B29" s="45" t="s">
        <v>142</v>
      </c>
      <c r="C29" s="9"/>
      <c r="D29" s="56"/>
      <c r="E29" s="108"/>
      <c r="F29" s="110"/>
      <c r="G29" s="114"/>
      <c r="H29" s="112"/>
    </row>
    <row r="30" spans="1:9" ht="30.6" customHeight="1" x14ac:dyDescent="0.3">
      <c r="A30" s="127" t="s">
        <v>6</v>
      </c>
      <c r="B30" s="128"/>
      <c r="C30" s="128"/>
      <c r="D30" s="128"/>
      <c r="E30" s="104" t="s">
        <v>119</v>
      </c>
      <c r="F30" s="105"/>
      <c r="G30" s="105"/>
      <c r="H30" s="105"/>
    </row>
    <row r="31" spans="1:9" ht="46.8" x14ac:dyDescent="0.3">
      <c r="A31" s="19" t="s">
        <v>83</v>
      </c>
      <c r="B31" s="11"/>
      <c r="C31" s="12"/>
      <c r="D31" s="8">
        <f>SUM(D32:D35)</f>
        <v>0</v>
      </c>
      <c r="E31" s="71" t="s">
        <v>83</v>
      </c>
      <c r="F31" s="72"/>
      <c r="G31" s="73"/>
      <c r="H31" s="69">
        <f>SUM(H32:H34)</f>
        <v>0</v>
      </c>
    </row>
    <row r="32" spans="1:9" ht="69" x14ac:dyDescent="0.3">
      <c r="A32" s="18" t="s">
        <v>13</v>
      </c>
      <c r="B32" s="45" t="s">
        <v>142</v>
      </c>
      <c r="C32" s="9"/>
      <c r="D32" s="57">
        <v>0</v>
      </c>
      <c r="E32" s="18" t="s">
        <v>120</v>
      </c>
      <c r="F32" s="45"/>
      <c r="G32" s="9"/>
      <c r="H32" s="57">
        <v>0</v>
      </c>
    </row>
    <row r="33" spans="1:8" ht="27.6" x14ac:dyDescent="0.3">
      <c r="A33" s="18" t="s">
        <v>14</v>
      </c>
      <c r="B33" s="45" t="s">
        <v>142</v>
      </c>
      <c r="C33" s="9"/>
      <c r="D33" s="57">
        <v>0</v>
      </c>
      <c r="E33" s="18" t="s">
        <v>121</v>
      </c>
      <c r="F33" s="45"/>
      <c r="G33" s="9"/>
      <c r="H33" s="57">
        <v>0</v>
      </c>
    </row>
    <row r="34" spans="1:8" ht="27.6" x14ac:dyDescent="0.3">
      <c r="A34" s="18" t="s">
        <v>15</v>
      </c>
      <c r="B34" s="45"/>
      <c r="C34" s="9"/>
      <c r="D34" s="57">
        <v>0</v>
      </c>
      <c r="E34" s="18" t="s">
        <v>122</v>
      </c>
      <c r="F34" s="45"/>
      <c r="G34" s="9"/>
      <c r="H34" s="57">
        <v>0</v>
      </c>
    </row>
    <row r="35" spans="1:8" ht="27.6" x14ac:dyDescent="0.3">
      <c r="A35" s="18" t="s">
        <v>17</v>
      </c>
      <c r="B35" s="45" t="s">
        <v>142</v>
      </c>
      <c r="C35" s="9"/>
      <c r="D35" s="57">
        <v>0</v>
      </c>
    </row>
    <row r="36" spans="1:8" ht="30" customHeight="1" x14ac:dyDescent="0.3">
      <c r="A36" s="106" t="s">
        <v>10</v>
      </c>
      <c r="B36" s="106"/>
      <c r="C36" s="106"/>
      <c r="D36" s="106"/>
      <c r="E36" s="106" t="s">
        <v>10</v>
      </c>
      <c r="F36" s="106"/>
      <c r="G36" s="106"/>
      <c r="H36" s="106"/>
    </row>
    <row r="37" spans="1:8" x14ac:dyDescent="0.3">
      <c r="A37"/>
      <c r="B37" s="1"/>
      <c r="C37" s="1"/>
    </row>
    <row r="38" spans="1:8" x14ac:dyDescent="0.3">
      <c r="A38"/>
    </row>
    <row r="39" spans="1:8" x14ac:dyDescent="0.3">
      <c r="A39"/>
      <c r="B39" s="1"/>
      <c r="C39" s="1"/>
    </row>
    <row r="40" spans="1:8" x14ac:dyDescent="0.3">
      <c r="A40"/>
      <c r="B40" s="83"/>
      <c r="C40" s="2"/>
    </row>
    <row r="41" spans="1:8" x14ac:dyDescent="0.3">
      <c r="A41"/>
      <c r="B41" s="84"/>
    </row>
    <row r="42" spans="1:8" x14ac:dyDescent="0.3">
      <c r="A42"/>
      <c r="B42" s="84"/>
    </row>
    <row r="43" spans="1:8" x14ac:dyDescent="0.3">
      <c r="A43"/>
      <c r="B43" s="84"/>
      <c r="C43" s="1"/>
    </row>
    <row r="44" spans="1:8" x14ac:dyDescent="0.3">
      <c r="A44"/>
      <c r="B44" s="84"/>
      <c r="C44" s="2"/>
    </row>
    <row r="45" spans="1:8" x14ac:dyDescent="0.3">
      <c r="A45"/>
      <c r="B45" s="84"/>
    </row>
    <row r="46" spans="1:8" x14ac:dyDescent="0.3">
      <c r="A46"/>
      <c r="B46" s="84"/>
    </row>
    <row r="47" spans="1:8" x14ac:dyDescent="0.3">
      <c r="A47"/>
      <c r="B47" s="84"/>
      <c r="C47" s="2"/>
    </row>
    <row r="48" spans="1:8" x14ac:dyDescent="0.3">
      <c r="A48"/>
      <c r="B48" s="84"/>
    </row>
    <row r="49" spans="1:3" x14ac:dyDescent="0.3">
      <c r="A49"/>
      <c r="B49" s="84"/>
      <c r="C49" s="1"/>
    </row>
    <row r="50" spans="1:3" x14ac:dyDescent="0.3">
      <c r="A50"/>
      <c r="B50" s="84"/>
      <c r="C50" s="2"/>
    </row>
    <row r="51" spans="1:3" x14ac:dyDescent="0.3">
      <c r="B51" s="84"/>
    </row>
    <row r="52" spans="1:3" x14ac:dyDescent="0.3">
      <c r="B52" s="84"/>
    </row>
  </sheetData>
  <mergeCells count="36">
    <mergeCell ref="A36:D36"/>
    <mergeCell ref="A6:D6"/>
    <mergeCell ref="A23:D23"/>
    <mergeCell ref="A30:D30"/>
    <mergeCell ref="B1:D1"/>
    <mergeCell ref="A3:D3"/>
    <mergeCell ref="D4:D5"/>
    <mergeCell ref="A4:A5"/>
    <mergeCell ref="B4:B5"/>
    <mergeCell ref="C4:C5"/>
    <mergeCell ref="G28:G29"/>
    <mergeCell ref="E3:H3"/>
    <mergeCell ref="E4:E5"/>
    <mergeCell ref="F4:F5"/>
    <mergeCell ref="G4:G5"/>
    <mergeCell ref="H4:H5"/>
    <mergeCell ref="H28:H29"/>
    <mergeCell ref="E6:H6"/>
    <mergeCell ref="E23:H23"/>
    <mergeCell ref="G12:G14"/>
    <mergeCell ref="E30:H30"/>
    <mergeCell ref="E36:H36"/>
    <mergeCell ref="E8:E9"/>
    <mergeCell ref="F8:F9"/>
    <mergeCell ref="H8:H9"/>
    <mergeCell ref="G8:G9"/>
    <mergeCell ref="E16:E17"/>
    <mergeCell ref="F16:F17"/>
    <mergeCell ref="G16:G17"/>
    <mergeCell ref="H16:H17"/>
    <mergeCell ref="E25:E26"/>
    <mergeCell ref="F25:F26"/>
    <mergeCell ref="G25:G26"/>
    <mergeCell ref="H25:H26"/>
    <mergeCell ref="E28:E29"/>
    <mergeCell ref="F28:F29"/>
  </mergeCells>
  <pageMargins left="0.7" right="0.32083333333333336" top="0.75" bottom="0.75" header="0.3" footer="0.3"/>
  <pageSetup paperSize="8" scale="58"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14"/>
  <sheetViews>
    <sheetView view="pageBreakPreview" zoomScale="85" zoomScaleNormal="100" zoomScaleSheetLayoutView="85" workbookViewId="0">
      <selection activeCell="B7" sqref="B7"/>
    </sheetView>
  </sheetViews>
  <sheetFormatPr defaultRowHeight="14.4" x14ac:dyDescent="0.3"/>
  <cols>
    <col min="1" max="1" width="48.33203125" customWidth="1"/>
    <col min="2" max="2" width="45.5546875" customWidth="1"/>
  </cols>
  <sheetData>
    <row r="1" spans="1:2" ht="101.4" customHeight="1" thickBot="1" x14ac:dyDescent="0.35">
      <c r="A1" s="7" t="s">
        <v>138</v>
      </c>
      <c r="B1" s="86" t="str">
        <f>Ūdenssaimniec_ESOŠS_VĒRTĒJUMS!B1</f>
        <v>Mārupes aglomerācija  (Mārupes, Tīraines, Vētras un Jaunmārupes ciemati)</v>
      </c>
    </row>
    <row r="2" spans="1:2" x14ac:dyDescent="0.3">
      <c r="A2" s="5"/>
      <c r="B2" s="6"/>
    </row>
    <row r="3" spans="1:2" ht="30.6" customHeight="1" x14ac:dyDescent="0.3">
      <c r="A3" s="134" t="s">
        <v>99</v>
      </c>
      <c r="B3" s="135"/>
    </row>
    <row r="4" spans="1:2" ht="72" x14ac:dyDescent="0.3">
      <c r="A4" s="96" t="s">
        <v>96</v>
      </c>
      <c r="B4" s="63" t="s">
        <v>154</v>
      </c>
    </row>
    <row r="5" spans="1:2" ht="259.2" x14ac:dyDescent="0.3">
      <c r="A5" s="92" t="s">
        <v>97</v>
      </c>
      <c r="B5" s="63" t="s">
        <v>152</v>
      </c>
    </row>
    <row r="6" spans="1:2" ht="28.8" x14ac:dyDescent="0.3">
      <c r="A6" s="64" t="s">
        <v>129</v>
      </c>
      <c r="B6" s="63" t="s">
        <v>151</v>
      </c>
    </row>
    <row r="7" spans="1:2" ht="38.4" customHeight="1" x14ac:dyDescent="0.3">
      <c r="A7" s="64" t="s">
        <v>105</v>
      </c>
      <c r="B7" s="103" t="s">
        <v>193</v>
      </c>
    </row>
    <row r="8" spans="1:2" ht="25.2" customHeight="1" x14ac:dyDescent="0.3">
      <c r="A8" s="64" t="s">
        <v>104</v>
      </c>
      <c r="B8" s="101">
        <v>3.3</v>
      </c>
    </row>
    <row r="9" spans="1:2" ht="45.6" customHeight="1" x14ac:dyDescent="0.3">
      <c r="A9" s="134"/>
      <c r="B9" s="135"/>
    </row>
    <row r="10" spans="1:2" ht="57.6" x14ac:dyDescent="0.3">
      <c r="A10" s="90" t="s">
        <v>94</v>
      </c>
      <c r="B10" s="63" t="s">
        <v>146</v>
      </c>
    </row>
    <row r="11" spans="1:2" ht="41.4" customHeight="1" x14ac:dyDescent="0.3">
      <c r="A11" s="90" t="s">
        <v>130</v>
      </c>
      <c r="B11" s="30" t="s">
        <v>147</v>
      </c>
    </row>
    <row r="12" spans="1:2" ht="70.2" customHeight="1" x14ac:dyDescent="0.3">
      <c r="A12" s="90" t="s">
        <v>95</v>
      </c>
      <c r="B12" s="63" t="s">
        <v>148</v>
      </c>
    </row>
    <row r="13" spans="1:2" ht="100.8" x14ac:dyDescent="0.3">
      <c r="A13" s="90" t="s">
        <v>131</v>
      </c>
      <c r="B13" s="63" t="s">
        <v>149</v>
      </c>
    </row>
    <row r="14" spans="1:2" ht="72" x14ac:dyDescent="0.3">
      <c r="A14" s="91" t="s">
        <v>106</v>
      </c>
      <c r="B14" s="100" t="s">
        <v>150</v>
      </c>
    </row>
  </sheetData>
  <mergeCells count="2">
    <mergeCell ref="A9:B9"/>
    <mergeCell ref="A3:B3"/>
  </mergeCells>
  <pageMargins left="0.7" right="0.7" top="0.75" bottom="0.75" header="0.3" footer="0.3"/>
  <pageSetup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52"/>
  <sheetViews>
    <sheetView tabSelected="1" zoomScale="85" zoomScaleNormal="85" workbookViewId="0">
      <selection activeCell="E27" sqref="E27"/>
    </sheetView>
  </sheetViews>
  <sheetFormatPr defaultRowHeight="14.4" x14ac:dyDescent="0.3"/>
  <cols>
    <col min="1" max="1" width="40.5546875" style="3" customWidth="1"/>
    <col min="2" max="2" width="22.6640625" customWidth="1"/>
    <col min="3" max="3" width="23.109375" customWidth="1"/>
    <col min="4" max="4" width="23.5546875" customWidth="1"/>
    <col min="5" max="5" width="51.6640625" customWidth="1"/>
    <col min="6" max="6" width="16.6640625" customWidth="1"/>
    <col min="7" max="7" width="17.88671875" customWidth="1"/>
    <col min="8" max="8" width="19" customWidth="1"/>
    <col min="9" max="9" width="22.5546875" customWidth="1"/>
  </cols>
  <sheetData>
    <row r="1" spans="1:8" ht="49.5" customHeight="1" thickBot="1" x14ac:dyDescent="0.35">
      <c r="A1" s="7" t="s">
        <v>138</v>
      </c>
      <c r="B1" s="129" t="s">
        <v>145</v>
      </c>
      <c r="C1" s="130"/>
      <c r="D1" s="130"/>
    </row>
    <row r="2" spans="1:8" ht="21.75" customHeight="1" x14ac:dyDescent="0.3">
      <c r="A2" s="5"/>
      <c r="B2" s="6"/>
      <c r="C2" s="6"/>
      <c r="D2" s="6"/>
    </row>
    <row r="3" spans="1:8" s="4" customFormat="1" ht="18" customHeight="1" x14ac:dyDescent="0.3">
      <c r="A3" s="131" t="s">
        <v>25</v>
      </c>
      <c r="B3" s="131"/>
      <c r="C3" s="131"/>
      <c r="D3" s="131"/>
    </row>
    <row r="4" spans="1:8" s="4" customFormat="1" ht="36" customHeight="1" x14ac:dyDescent="0.3">
      <c r="A4" s="81" t="s">
        <v>140</v>
      </c>
      <c r="B4" s="30">
        <v>19831</v>
      </c>
      <c r="C4" s="79"/>
      <c r="D4" s="79"/>
    </row>
    <row r="5" spans="1:8" ht="29.4" customHeight="1" x14ac:dyDescent="0.3">
      <c r="A5" s="24" t="s">
        <v>26</v>
      </c>
      <c r="B5" s="30">
        <v>18964</v>
      </c>
      <c r="C5" s="28"/>
      <c r="D5" s="21"/>
      <c r="E5" s="46"/>
    </row>
    <row r="6" spans="1:8" x14ac:dyDescent="0.3">
      <c r="A6" s="22" t="s">
        <v>27</v>
      </c>
      <c r="B6" s="30">
        <f>4336-569</f>
        <v>3767</v>
      </c>
      <c r="C6" s="28"/>
      <c r="D6" s="10"/>
      <c r="E6" s="46"/>
    </row>
    <row r="7" spans="1:8" x14ac:dyDescent="0.3">
      <c r="A7" s="22" t="s">
        <v>28</v>
      </c>
      <c r="B7" s="30">
        <f>B6*3.3</f>
        <v>12431.099999999999</v>
      </c>
      <c r="C7" s="29">
        <f>B7/B5</f>
        <v>0.65551044083526677</v>
      </c>
      <c r="D7" s="10"/>
      <c r="E7" s="46"/>
    </row>
    <row r="8" spans="1:8" ht="147" customHeight="1" x14ac:dyDescent="0.3">
      <c r="A8" s="22" t="s">
        <v>29</v>
      </c>
      <c r="B8" s="30">
        <f>B5-950-(2897/58000*(58000-14274))</f>
        <v>15829.961689655172</v>
      </c>
      <c r="C8" s="29">
        <f>B8/B5</f>
        <v>0.83473748627162903</v>
      </c>
      <c r="D8" s="102" t="s">
        <v>186</v>
      </c>
      <c r="E8" s="3"/>
      <c r="F8" s="1"/>
      <c r="G8" s="142"/>
      <c r="H8" s="142"/>
    </row>
    <row r="9" spans="1:8" ht="41.4" x14ac:dyDescent="0.3">
      <c r="A9" s="26"/>
      <c r="B9" s="11"/>
      <c r="C9" s="27" t="s">
        <v>89</v>
      </c>
      <c r="D9" s="27" t="s">
        <v>90</v>
      </c>
      <c r="E9" s="58"/>
      <c r="G9" s="98"/>
      <c r="H9" s="98"/>
    </row>
    <row r="10" spans="1:8" ht="15.6" x14ac:dyDescent="0.3">
      <c r="A10" s="24" t="s">
        <v>30</v>
      </c>
      <c r="B10" s="20">
        <f>B11+B12</f>
        <v>125.47999999999999</v>
      </c>
      <c r="C10" s="20">
        <f>C11+C12</f>
        <v>0</v>
      </c>
      <c r="D10" s="20">
        <f t="shared" ref="D10" si="0">D11+D12</f>
        <v>0</v>
      </c>
      <c r="E10" s="46"/>
    </row>
    <row r="11" spans="1:8" x14ac:dyDescent="0.3">
      <c r="A11" s="22" t="s">
        <v>31</v>
      </c>
      <c r="B11" s="30">
        <f>86.74+26.2</f>
        <v>112.94</v>
      </c>
      <c r="C11" s="30">
        <v>0</v>
      </c>
      <c r="D11" s="30">
        <v>0</v>
      </c>
      <c r="E11" s="46"/>
      <c r="G11" s="1"/>
    </row>
    <row r="12" spans="1:8" x14ac:dyDescent="0.3">
      <c r="A12" s="22" t="s">
        <v>32</v>
      </c>
      <c r="B12" s="30">
        <f>2.52+10.02</f>
        <v>12.54</v>
      </c>
      <c r="C12" s="30">
        <v>0</v>
      </c>
      <c r="D12" s="30">
        <v>0</v>
      </c>
      <c r="E12" s="46"/>
    </row>
    <row r="13" spans="1:8" ht="15.6" x14ac:dyDescent="0.3">
      <c r="A13" s="25" t="s">
        <v>33</v>
      </c>
      <c r="B13" s="30">
        <v>54</v>
      </c>
      <c r="C13" s="28"/>
      <c r="D13" s="28"/>
      <c r="E13" s="46"/>
    </row>
    <row r="14" spans="1:8" x14ac:dyDescent="0.3">
      <c r="A14" s="18" t="s">
        <v>34</v>
      </c>
      <c r="B14" s="30">
        <v>0</v>
      </c>
      <c r="C14" s="28"/>
      <c r="D14" s="28"/>
      <c r="E14" s="46"/>
    </row>
    <row r="15" spans="1:8" x14ac:dyDescent="0.3">
      <c r="A15" s="23" t="s">
        <v>35</v>
      </c>
      <c r="B15" s="30">
        <v>54</v>
      </c>
      <c r="C15" s="28"/>
      <c r="D15" s="28"/>
      <c r="E15" s="46"/>
    </row>
    <row r="16" spans="1:8" ht="15.6" x14ac:dyDescent="0.3">
      <c r="A16" s="24" t="s">
        <v>78</v>
      </c>
      <c r="B16" s="57">
        <v>4</v>
      </c>
      <c r="C16" s="59"/>
      <c r="D16" s="59"/>
      <c r="E16" s="46"/>
    </row>
    <row r="17" spans="1:8" ht="15.6" x14ac:dyDescent="0.3">
      <c r="A17" s="24" t="s">
        <v>132</v>
      </c>
      <c r="B17" s="88">
        <f>(123280)/(251970.52+374078.32)</f>
        <v>0.19691754400503322</v>
      </c>
      <c r="C17" s="59"/>
      <c r="D17" s="59"/>
      <c r="E17" s="46"/>
    </row>
    <row r="18" spans="1:8" ht="45.6" customHeight="1" x14ac:dyDescent="0.3">
      <c r="A18" s="31" t="s">
        <v>91</v>
      </c>
      <c r="B18" s="30">
        <v>0</v>
      </c>
      <c r="C18" s="28"/>
      <c r="D18" s="28"/>
      <c r="E18" s="46"/>
    </row>
    <row r="19" spans="1:8" ht="62.4" x14ac:dyDescent="0.3">
      <c r="A19" s="31" t="s">
        <v>139</v>
      </c>
      <c r="B19" s="33">
        <v>0</v>
      </c>
      <c r="C19" s="28"/>
      <c r="D19" s="28"/>
      <c r="E19" s="46"/>
    </row>
    <row r="20" spans="1:8" ht="54.6" customHeight="1" x14ac:dyDescent="0.3">
      <c r="A20" s="31" t="s">
        <v>84</v>
      </c>
      <c r="B20" s="33">
        <v>1</v>
      </c>
      <c r="C20" s="59"/>
      <c r="D20" s="59"/>
      <c r="E20" s="58"/>
    </row>
    <row r="21" spans="1:8" ht="31.2" x14ac:dyDescent="0.3">
      <c r="A21" s="31" t="s">
        <v>85</v>
      </c>
      <c r="B21" s="32">
        <v>212529</v>
      </c>
      <c r="C21" s="28"/>
      <c r="D21" s="28"/>
    </row>
    <row r="22" spans="1:8" ht="172.8" x14ac:dyDescent="0.3">
      <c r="A22" s="31" t="s">
        <v>98</v>
      </c>
      <c r="B22" s="87" t="s">
        <v>144</v>
      </c>
      <c r="C22" s="28"/>
      <c r="D22" s="28"/>
    </row>
    <row r="23" spans="1:8" ht="15.6" x14ac:dyDescent="0.3">
      <c r="A23" s="141" t="s">
        <v>68</v>
      </c>
      <c r="B23" s="141"/>
      <c r="C23" s="141"/>
      <c r="D23" s="141"/>
    </row>
    <row r="24" spans="1:8" ht="31.2" x14ac:dyDescent="0.3">
      <c r="A24" s="24" t="s">
        <v>69</v>
      </c>
      <c r="B24" s="30">
        <v>18964</v>
      </c>
      <c r="C24" s="28"/>
      <c r="D24" s="21"/>
      <c r="E24" s="46"/>
    </row>
    <row r="25" spans="1:8" x14ac:dyDescent="0.3">
      <c r="A25" s="22" t="s">
        <v>27</v>
      </c>
      <c r="B25" s="30">
        <f>5692-585</f>
        <v>5107</v>
      </c>
      <c r="C25" s="28"/>
      <c r="D25" s="10"/>
      <c r="E25" s="46"/>
    </row>
    <row r="26" spans="1:8" x14ac:dyDescent="0.3">
      <c r="A26" s="22" t="s">
        <v>28</v>
      </c>
      <c r="B26" s="30">
        <f>B25*3.2</f>
        <v>16342.400000000001</v>
      </c>
      <c r="C26" s="29">
        <f>B26/B24</f>
        <v>0.8617591225479857</v>
      </c>
      <c r="D26" s="10"/>
      <c r="E26" s="46"/>
    </row>
    <row r="27" spans="1:8" ht="138" x14ac:dyDescent="0.3">
      <c r="A27" s="22" t="s">
        <v>29</v>
      </c>
      <c r="B27" s="30">
        <f>B24*(10070+1328+1373+1541)/15357</f>
        <v>17673.553949339064</v>
      </c>
      <c r="C27" s="29">
        <f>B27/B24</f>
        <v>0.93195285537539885</v>
      </c>
      <c r="D27" s="102" t="s">
        <v>192</v>
      </c>
    </row>
    <row r="28" spans="1:8" ht="41.4" x14ac:dyDescent="0.3">
      <c r="A28" s="26"/>
      <c r="B28" s="11"/>
      <c r="C28" s="27" t="s">
        <v>89</v>
      </c>
      <c r="D28" s="27" t="s">
        <v>90</v>
      </c>
      <c r="E28" s="58"/>
    </row>
    <row r="29" spans="1:8" ht="19.2" customHeight="1" x14ac:dyDescent="0.3">
      <c r="A29" s="24" t="s">
        <v>70</v>
      </c>
      <c r="B29" s="57">
        <v>77.88</v>
      </c>
      <c r="C29" s="57">
        <v>0</v>
      </c>
      <c r="D29" s="57">
        <f>B29*0.1</f>
        <v>7.7880000000000003</v>
      </c>
    </row>
    <row r="30" spans="1:8" ht="19.2" customHeight="1" x14ac:dyDescent="0.3">
      <c r="A30" s="24" t="s">
        <v>78</v>
      </c>
      <c r="B30" s="57">
        <v>29</v>
      </c>
      <c r="C30" s="59"/>
      <c r="D30" s="60"/>
      <c r="E30" s="61"/>
    </row>
    <row r="31" spans="1:8" ht="37.200000000000003" customHeight="1" x14ac:dyDescent="0.3">
      <c r="A31" s="24" t="s">
        <v>133</v>
      </c>
      <c r="B31" s="88">
        <f>97844/833710</f>
        <v>0.11735975339146705</v>
      </c>
      <c r="C31" s="59"/>
      <c r="D31" s="60"/>
      <c r="E31" s="46"/>
    </row>
    <row r="32" spans="1:8" ht="58.95" customHeight="1" x14ac:dyDescent="0.3">
      <c r="A32" s="55" t="s">
        <v>73</v>
      </c>
      <c r="B32" s="35" t="s">
        <v>37</v>
      </c>
      <c r="C32" s="35" t="s">
        <v>38</v>
      </c>
      <c r="D32" s="35" t="s">
        <v>40</v>
      </c>
      <c r="E32" s="35" t="s">
        <v>71</v>
      </c>
      <c r="F32" s="35" t="s">
        <v>41</v>
      </c>
      <c r="G32" s="35" t="s">
        <v>56</v>
      </c>
      <c r="H32" s="35" t="s">
        <v>75</v>
      </c>
    </row>
    <row r="33" spans="1:8" ht="28.95" customHeight="1" x14ac:dyDescent="0.3">
      <c r="A33" s="93" t="s">
        <v>160</v>
      </c>
      <c r="B33" s="94" t="s">
        <v>153</v>
      </c>
      <c r="C33" s="42">
        <v>2011</v>
      </c>
      <c r="D33" s="42">
        <f>10/1000*60*60*24</f>
        <v>864</v>
      </c>
      <c r="E33" s="42">
        <v>69151</v>
      </c>
      <c r="F33" s="42">
        <f>G33+7</f>
        <v>32</v>
      </c>
      <c r="G33" s="42">
        <v>25</v>
      </c>
      <c r="H33" s="136" t="s">
        <v>179</v>
      </c>
    </row>
    <row r="34" spans="1:8" ht="28.8" x14ac:dyDescent="0.3">
      <c r="A34" s="93" t="s">
        <v>161</v>
      </c>
      <c r="B34" s="94" t="s">
        <v>153</v>
      </c>
      <c r="C34" s="42">
        <v>2011</v>
      </c>
      <c r="D34" s="42">
        <f>14/1000*60*60*24</f>
        <v>1209.5999999999999</v>
      </c>
      <c r="E34" s="42">
        <v>103503</v>
      </c>
      <c r="F34" s="42">
        <f t="shared" ref="F34:F42" si="1">G34+7</f>
        <v>32</v>
      </c>
      <c r="G34" s="42">
        <v>25</v>
      </c>
      <c r="H34" s="137"/>
    </row>
    <row r="35" spans="1:8" ht="28.8" x14ac:dyDescent="0.3">
      <c r="A35" s="93" t="s">
        <v>162</v>
      </c>
      <c r="B35" s="94" t="s">
        <v>153</v>
      </c>
      <c r="C35" s="42">
        <v>2011</v>
      </c>
      <c r="D35" s="42">
        <f>10/1000*60*60*24</f>
        <v>864</v>
      </c>
      <c r="E35" s="42">
        <v>166936</v>
      </c>
      <c r="F35" s="42">
        <f t="shared" si="1"/>
        <v>32</v>
      </c>
      <c r="G35" s="42">
        <v>25</v>
      </c>
      <c r="H35" s="137"/>
    </row>
    <row r="36" spans="1:8" ht="28.8" x14ac:dyDescent="0.3">
      <c r="A36" s="93" t="s">
        <v>163</v>
      </c>
      <c r="B36" s="94" t="s">
        <v>153</v>
      </c>
      <c r="C36" s="42">
        <v>2011</v>
      </c>
      <c r="D36" s="42">
        <f>10/1000*60*60*24</f>
        <v>864</v>
      </c>
      <c r="E36" s="42">
        <v>187285</v>
      </c>
      <c r="F36" s="42">
        <f t="shared" si="1"/>
        <v>32</v>
      </c>
      <c r="G36" s="42">
        <v>25</v>
      </c>
      <c r="H36" s="137"/>
    </row>
    <row r="37" spans="1:8" ht="28.8" x14ac:dyDescent="0.3">
      <c r="A37" s="93" t="s">
        <v>164</v>
      </c>
      <c r="B37" s="94" t="s">
        <v>153</v>
      </c>
      <c r="C37" s="42">
        <v>2011</v>
      </c>
      <c r="D37" s="42">
        <f>14/1000*60*60*24</f>
        <v>1209.5999999999999</v>
      </c>
      <c r="E37" s="42">
        <v>82621</v>
      </c>
      <c r="F37" s="42">
        <f t="shared" si="1"/>
        <v>32</v>
      </c>
      <c r="G37" s="42">
        <v>25</v>
      </c>
      <c r="H37" s="137"/>
    </row>
    <row r="38" spans="1:8" ht="28.8" x14ac:dyDescent="0.3">
      <c r="A38" s="93" t="s">
        <v>155</v>
      </c>
      <c r="B38" s="94" t="s">
        <v>153</v>
      </c>
      <c r="C38" s="42">
        <v>2012</v>
      </c>
      <c r="D38" s="42">
        <f>10/1000*60*60*24</f>
        <v>864</v>
      </c>
      <c r="E38" s="42">
        <v>76563</v>
      </c>
      <c r="F38" s="42">
        <f t="shared" si="1"/>
        <v>32</v>
      </c>
      <c r="G38" s="42">
        <v>25</v>
      </c>
      <c r="H38" s="137"/>
    </row>
    <row r="39" spans="1:8" ht="28.8" x14ac:dyDescent="0.3">
      <c r="A39" s="93" t="s">
        <v>156</v>
      </c>
      <c r="B39" s="94" t="s">
        <v>153</v>
      </c>
      <c r="C39" s="42">
        <v>2007</v>
      </c>
      <c r="D39" s="42">
        <f>12/1000*60*60*24</f>
        <v>1036.8</v>
      </c>
      <c r="E39" s="42">
        <v>145252</v>
      </c>
      <c r="F39" s="42">
        <f t="shared" si="1"/>
        <v>42</v>
      </c>
      <c r="G39" s="42">
        <v>35</v>
      </c>
      <c r="H39" s="137"/>
    </row>
    <row r="40" spans="1:8" ht="28.8" x14ac:dyDescent="0.3">
      <c r="A40" s="93" t="s">
        <v>157</v>
      </c>
      <c r="B40" s="94" t="s">
        <v>153</v>
      </c>
      <c r="C40" s="42">
        <v>2003</v>
      </c>
      <c r="D40" s="42">
        <f>5/1000*60*60*24</f>
        <v>432</v>
      </c>
      <c r="E40" s="42">
        <v>54071</v>
      </c>
      <c r="F40" s="42">
        <f t="shared" si="1"/>
        <v>40</v>
      </c>
      <c r="G40" s="42">
        <v>33</v>
      </c>
      <c r="H40" s="137"/>
    </row>
    <row r="41" spans="1:8" ht="28.8" x14ac:dyDescent="0.3">
      <c r="A41" s="93" t="s">
        <v>158</v>
      </c>
      <c r="B41" s="94" t="s">
        <v>153</v>
      </c>
      <c r="C41" s="42">
        <v>2013</v>
      </c>
      <c r="D41" s="42">
        <f>12/1000*60*60*24</f>
        <v>1036.8</v>
      </c>
      <c r="E41" s="42">
        <v>69530</v>
      </c>
      <c r="F41" s="42">
        <f t="shared" si="1"/>
        <v>27</v>
      </c>
      <c r="G41" s="42">
        <v>20</v>
      </c>
      <c r="H41" s="137"/>
    </row>
    <row r="42" spans="1:8" ht="28.8" x14ac:dyDescent="0.3">
      <c r="A42" s="93" t="s">
        <v>159</v>
      </c>
      <c r="B42" s="94" t="s">
        <v>153</v>
      </c>
      <c r="C42" s="42">
        <v>2013</v>
      </c>
      <c r="D42" s="42">
        <f>12/1000*60*60*24</f>
        <v>1036.8</v>
      </c>
      <c r="E42" s="42">
        <v>72445</v>
      </c>
      <c r="F42" s="42">
        <f t="shared" si="1"/>
        <v>27</v>
      </c>
      <c r="G42" s="42">
        <v>20</v>
      </c>
      <c r="H42" s="138"/>
    </row>
    <row r="43" spans="1:8" ht="57.6" x14ac:dyDescent="0.3">
      <c r="A43" s="55" t="s">
        <v>77</v>
      </c>
      <c r="B43" s="35" t="s">
        <v>37</v>
      </c>
      <c r="C43" s="35" t="s">
        <v>38</v>
      </c>
      <c r="D43" s="35" t="s">
        <v>40</v>
      </c>
      <c r="E43" s="35" t="s">
        <v>79</v>
      </c>
      <c r="F43" s="35" t="s">
        <v>41</v>
      </c>
      <c r="G43" s="35" t="s">
        <v>56</v>
      </c>
      <c r="H43" s="35" t="s">
        <v>76</v>
      </c>
    </row>
    <row r="44" spans="1:8" ht="28.8" x14ac:dyDescent="0.3">
      <c r="A44" s="93" t="s">
        <v>165</v>
      </c>
      <c r="B44" s="94" t="s">
        <v>153</v>
      </c>
      <c r="C44" s="42">
        <v>2013</v>
      </c>
      <c r="D44" s="42">
        <f>145.5*24</f>
        <v>3492</v>
      </c>
      <c r="E44" s="42">
        <f>SUM(E33:E37)</f>
        <v>609496</v>
      </c>
      <c r="F44" s="42">
        <v>17</v>
      </c>
      <c r="G44" s="42">
        <v>10</v>
      </c>
      <c r="H44" s="42">
        <v>340572</v>
      </c>
    </row>
    <row r="45" spans="1:8" ht="28.8" x14ac:dyDescent="0.3">
      <c r="A45" s="93" t="s">
        <v>166</v>
      </c>
      <c r="B45" s="94" t="s">
        <v>153</v>
      </c>
      <c r="C45" s="42">
        <v>2002</v>
      </c>
      <c r="D45" s="42">
        <v>1920</v>
      </c>
      <c r="E45" s="42">
        <f>E39+E38</f>
        <v>221815</v>
      </c>
      <c r="F45" s="42">
        <v>57</v>
      </c>
      <c r="G45" s="42">
        <f>G40</f>
        <v>33</v>
      </c>
      <c r="H45" s="42">
        <v>197405</v>
      </c>
    </row>
    <row r="46" spans="1:8" ht="28.8" x14ac:dyDescent="0.3">
      <c r="A46" s="93" t="s">
        <v>169</v>
      </c>
      <c r="B46" s="94" t="s">
        <v>153</v>
      </c>
      <c r="C46" s="42">
        <v>2003</v>
      </c>
      <c r="D46" s="42">
        <v>480</v>
      </c>
      <c r="E46" s="42">
        <f>E40</f>
        <v>54071</v>
      </c>
      <c r="F46" s="42">
        <v>61</v>
      </c>
      <c r="G46" s="42">
        <v>13</v>
      </c>
      <c r="H46" s="42">
        <v>55093</v>
      </c>
    </row>
    <row r="47" spans="1:8" ht="28.8" x14ac:dyDescent="0.3">
      <c r="A47" s="93" t="s">
        <v>168</v>
      </c>
      <c r="B47" s="94" t="s">
        <v>153</v>
      </c>
      <c r="C47" s="42">
        <v>2013</v>
      </c>
      <c r="D47" s="42">
        <f>46*24</f>
        <v>1104</v>
      </c>
      <c r="E47" s="42">
        <f>E42+E41</f>
        <v>141975</v>
      </c>
      <c r="F47" s="42">
        <v>11</v>
      </c>
      <c r="G47" s="42">
        <v>8</v>
      </c>
      <c r="H47" s="42">
        <v>98458</v>
      </c>
    </row>
    <row r="48" spans="1:8" ht="43.2" x14ac:dyDescent="0.3">
      <c r="A48" s="55" t="s">
        <v>72</v>
      </c>
      <c r="B48" s="35" t="s">
        <v>37</v>
      </c>
      <c r="C48" s="35" t="s">
        <v>38</v>
      </c>
      <c r="D48" s="35" t="s">
        <v>74</v>
      </c>
      <c r="E48" s="35" t="s">
        <v>41</v>
      </c>
      <c r="F48" s="35" t="s">
        <v>56</v>
      </c>
      <c r="G48" s="139" t="s">
        <v>80</v>
      </c>
      <c r="H48" s="139"/>
    </row>
    <row r="49" spans="1:8" ht="28.8" x14ac:dyDescent="0.3">
      <c r="A49" s="93" t="s">
        <v>170</v>
      </c>
      <c r="B49" s="94" t="s">
        <v>153</v>
      </c>
      <c r="C49" s="42">
        <v>2013</v>
      </c>
      <c r="D49" s="42">
        <v>1400</v>
      </c>
      <c r="E49" s="42">
        <v>7</v>
      </c>
      <c r="F49" s="42">
        <v>10</v>
      </c>
      <c r="G49" s="140" t="s">
        <v>178</v>
      </c>
      <c r="H49" s="140"/>
    </row>
    <row r="50" spans="1:8" ht="28.8" x14ac:dyDescent="0.3">
      <c r="A50" s="93" t="s">
        <v>171</v>
      </c>
      <c r="B50" s="94" t="s">
        <v>153</v>
      </c>
      <c r="C50" s="42">
        <v>2002</v>
      </c>
      <c r="D50" s="42">
        <v>500</v>
      </c>
      <c r="E50" s="42">
        <v>21</v>
      </c>
      <c r="F50" s="42">
        <v>16</v>
      </c>
      <c r="G50" s="140"/>
      <c r="H50" s="140"/>
    </row>
    <row r="51" spans="1:8" ht="28.8" x14ac:dyDescent="0.3">
      <c r="A51" s="93" t="s">
        <v>167</v>
      </c>
      <c r="B51" s="94" t="s">
        <v>153</v>
      </c>
      <c r="C51" s="42">
        <v>1994</v>
      </c>
      <c r="D51" s="42">
        <v>500</v>
      </c>
      <c r="E51" s="42">
        <v>31</v>
      </c>
      <c r="F51" s="42">
        <v>17</v>
      </c>
      <c r="G51" s="140"/>
      <c r="H51" s="140"/>
    </row>
    <row r="52" spans="1:8" x14ac:dyDescent="0.3">
      <c r="A52" s="95"/>
      <c r="H52" s="4"/>
    </row>
  </sheetData>
  <mergeCells count="7">
    <mergeCell ref="H33:H42"/>
    <mergeCell ref="G48:H48"/>
    <mergeCell ref="G49:H51"/>
    <mergeCell ref="A23:D23"/>
    <mergeCell ref="B1:D1"/>
    <mergeCell ref="A3:D3"/>
    <mergeCell ref="G8:H8"/>
  </mergeCells>
  <pageMargins left="0.7" right="0.7" top="0.75" bottom="0.75" header="0.3" footer="0.3"/>
  <pageSetup paperSize="8" scale="8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25"/>
  <sheetViews>
    <sheetView zoomScale="90" zoomScaleNormal="90" workbookViewId="0">
      <selection activeCell="H3" sqref="H3"/>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138</v>
      </c>
      <c r="B1" s="143" t="str">
        <f>Ūdenssaimniec_ESOŠS_VĒRTĒJUMS!B1</f>
        <v>Mārupes aglomerācija  (Mārupes, Tīraines, Vētras un Jaunmārupes ciemati)</v>
      </c>
      <c r="C1" s="144"/>
      <c r="D1" s="144"/>
      <c r="E1" s="76"/>
      <c r="F1" s="58"/>
    </row>
    <row r="2" spans="1:11" ht="21.75" customHeight="1" x14ac:dyDescent="0.3">
      <c r="A2" s="5"/>
      <c r="B2" s="6"/>
      <c r="C2" s="6"/>
      <c r="D2" s="6"/>
      <c r="E2" s="6"/>
    </row>
    <row r="3" spans="1:11" s="4" customFormat="1" ht="18" customHeight="1" x14ac:dyDescent="0.3">
      <c r="A3" s="151" t="s">
        <v>36</v>
      </c>
      <c r="B3" s="152"/>
      <c r="C3" s="152"/>
      <c r="D3" s="152"/>
      <c r="E3" s="152"/>
    </row>
    <row r="4" spans="1:11" ht="29.4" customHeight="1" x14ac:dyDescent="0.3">
      <c r="A4" s="41" t="s">
        <v>43</v>
      </c>
      <c r="B4" s="30">
        <v>524275</v>
      </c>
      <c r="C4" s="28"/>
      <c r="D4" s="153" t="s">
        <v>185</v>
      </c>
      <c r="E4" s="153"/>
      <c r="G4" s="1"/>
    </row>
    <row r="5" spans="1:11" x14ac:dyDescent="0.3">
      <c r="A5" s="22" t="s">
        <v>195</v>
      </c>
      <c r="B5" s="30">
        <v>523441</v>
      </c>
      <c r="C5" s="34">
        <f>B5/B4</f>
        <v>0.99840923179629015</v>
      </c>
      <c r="D5" s="153"/>
      <c r="E5" s="153"/>
    </row>
    <row r="6" spans="1:11" ht="28.8" x14ac:dyDescent="0.3">
      <c r="A6" s="22" t="s">
        <v>86</v>
      </c>
      <c r="B6" s="30">
        <v>834</v>
      </c>
      <c r="C6" s="29">
        <f>B6/B4</f>
        <v>1.5907682037098851E-3</v>
      </c>
      <c r="D6" s="153"/>
      <c r="E6" s="153"/>
      <c r="F6" s="58"/>
    </row>
    <row r="7" spans="1:11" ht="57.6" x14ac:dyDescent="0.3">
      <c r="A7" s="62" t="s">
        <v>93</v>
      </c>
      <c r="B7" s="35" t="s">
        <v>37</v>
      </c>
      <c r="C7" s="35" t="s">
        <v>38</v>
      </c>
      <c r="D7" s="35" t="s">
        <v>40</v>
      </c>
      <c r="E7" s="35" t="s">
        <v>134</v>
      </c>
      <c r="F7" s="35" t="s">
        <v>42</v>
      </c>
      <c r="G7" s="35" t="s">
        <v>41</v>
      </c>
      <c r="H7" s="35" t="s">
        <v>56</v>
      </c>
      <c r="I7" s="35" t="s">
        <v>44</v>
      </c>
      <c r="J7" s="35" t="s">
        <v>54</v>
      </c>
      <c r="K7" s="35" t="s">
        <v>55</v>
      </c>
    </row>
    <row r="8" spans="1:11" s="37" customFormat="1" x14ac:dyDescent="0.3">
      <c r="A8" s="38" t="s">
        <v>45</v>
      </c>
      <c r="B8" s="42"/>
      <c r="C8" s="42"/>
      <c r="D8" s="42"/>
      <c r="E8" s="42"/>
      <c r="F8" s="42">
        <v>642201</v>
      </c>
      <c r="G8" s="42"/>
      <c r="H8" s="42"/>
      <c r="I8" s="42"/>
      <c r="J8" s="43"/>
      <c r="K8" s="43"/>
    </row>
    <row r="9" spans="1:11" s="37" customFormat="1" x14ac:dyDescent="0.3">
      <c r="A9" s="38" t="s">
        <v>46</v>
      </c>
      <c r="B9" s="42"/>
      <c r="C9" s="42"/>
      <c r="D9" s="42"/>
      <c r="E9" s="42"/>
      <c r="F9" s="42"/>
      <c r="G9" s="42"/>
      <c r="H9" s="42"/>
      <c r="I9" s="42"/>
      <c r="J9" s="43"/>
      <c r="K9" s="43"/>
    </row>
    <row r="10" spans="1:11" s="37" customFormat="1" x14ac:dyDescent="0.3">
      <c r="A10" s="38" t="s">
        <v>47</v>
      </c>
      <c r="B10" s="42"/>
      <c r="C10" s="42"/>
      <c r="D10" s="42"/>
      <c r="E10" s="42"/>
      <c r="F10" s="42"/>
      <c r="G10" s="42"/>
      <c r="H10" s="42"/>
      <c r="I10" s="42"/>
      <c r="J10" s="43"/>
      <c r="K10" s="43"/>
    </row>
    <row r="11" spans="1:11" s="37" customFormat="1" ht="77.400000000000006" customHeight="1" x14ac:dyDescent="0.3">
      <c r="A11" s="82" t="s">
        <v>141</v>
      </c>
      <c r="B11" s="42"/>
      <c r="C11" s="36"/>
      <c r="D11" s="36"/>
      <c r="E11" s="36"/>
      <c r="F11" s="36"/>
      <c r="G11" s="36"/>
      <c r="H11" s="36"/>
      <c r="I11" s="36"/>
      <c r="J11" s="80"/>
      <c r="K11" s="80"/>
    </row>
    <row r="12" spans="1:11" s="37" customFormat="1" x14ac:dyDescent="0.3">
      <c r="A12" s="36"/>
      <c r="B12" s="36"/>
      <c r="C12" s="36"/>
      <c r="D12" s="36"/>
      <c r="E12" s="36"/>
      <c r="F12" s="36"/>
      <c r="G12" s="36"/>
      <c r="H12" s="36"/>
      <c r="I12" s="36"/>
      <c r="J12" s="80"/>
      <c r="K12" s="80"/>
    </row>
    <row r="13" spans="1:11" ht="46.95" customHeight="1" x14ac:dyDescent="0.3">
      <c r="A13" s="35" t="s">
        <v>39</v>
      </c>
      <c r="B13" s="35" t="s">
        <v>81</v>
      </c>
      <c r="C13" s="35" t="s">
        <v>135</v>
      </c>
      <c r="D13" s="35" t="s">
        <v>48</v>
      </c>
      <c r="E13" s="36"/>
      <c r="F13" s="37"/>
    </row>
    <row r="14" spans="1:11" x14ac:dyDescent="0.3">
      <c r="A14" s="145" t="s">
        <v>45</v>
      </c>
      <c r="B14" s="39" t="s">
        <v>49</v>
      </c>
      <c r="C14" s="44"/>
      <c r="D14" s="44"/>
      <c r="E14" s="77"/>
      <c r="F14" s="37"/>
    </row>
    <row r="15" spans="1:11" x14ac:dyDescent="0.3">
      <c r="A15" s="146"/>
      <c r="B15" s="39" t="s">
        <v>50</v>
      </c>
      <c r="C15" s="44"/>
      <c r="D15" s="44"/>
      <c r="E15" s="77"/>
      <c r="F15" s="37"/>
    </row>
    <row r="16" spans="1:11" x14ac:dyDescent="0.3">
      <c r="A16" s="146"/>
      <c r="B16" s="39" t="s">
        <v>51</v>
      </c>
      <c r="C16" s="44"/>
      <c r="D16" s="44"/>
      <c r="E16" s="77"/>
      <c r="F16" s="37"/>
    </row>
    <row r="17" spans="1:6" x14ac:dyDescent="0.3">
      <c r="A17" s="146"/>
      <c r="B17" s="39" t="s">
        <v>52</v>
      </c>
      <c r="C17" s="44"/>
      <c r="D17" s="44"/>
      <c r="E17" s="77"/>
      <c r="F17" s="37"/>
    </row>
    <row r="18" spans="1:6" x14ac:dyDescent="0.3">
      <c r="A18" s="146"/>
      <c r="B18" s="39" t="s">
        <v>53</v>
      </c>
      <c r="C18" s="44"/>
      <c r="D18" s="44"/>
      <c r="E18" s="77"/>
      <c r="F18" s="37"/>
    </row>
    <row r="19" spans="1:6" ht="28.8" x14ac:dyDescent="0.3">
      <c r="A19" s="147"/>
      <c r="B19" s="78" t="s">
        <v>136</v>
      </c>
      <c r="C19" s="44"/>
      <c r="D19" s="28"/>
      <c r="E19" s="77"/>
      <c r="F19" s="37"/>
    </row>
    <row r="20" spans="1:6" ht="29.4" customHeight="1" x14ac:dyDescent="0.3">
      <c r="A20" s="148" t="s">
        <v>46</v>
      </c>
      <c r="B20" s="40" t="s">
        <v>49</v>
      </c>
      <c r="C20" s="45"/>
      <c r="D20" s="45"/>
      <c r="E20" s="77"/>
      <c r="F20" s="37"/>
    </row>
    <row r="21" spans="1:6" x14ac:dyDescent="0.3">
      <c r="A21" s="149"/>
      <c r="B21" s="40" t="s">
        <v>50</v>
      </c>
      <c r="C21" s="45"/>
      <c r="D21" s="45"/>
      <c r="E21" s="77"/>
      <c r="F21" s="37"/>
    </row>
    <row r="22" spans="1:6" x14ac:dyDescent="0.3">
      <c r="A22" s="149"/>
      <c r="B22" s="40" t="s">
        <v>51</v>
      </c>
      <c r="C22" s="45"/>
      <c r="D22" s="45"/>
      <c r="E22" s="77"/>
      <c r="F22" s="37"/>
    </row>
    <row r="23" spans="1:6" x14ac:dyDescent="0.3">
      <c r="A23" s="149"/>
      <c r="B23" s="40" t="s">
        <v>52</v>
      </c>
      <c r="C23" s="45"/>
      <c r="D23" s="45"/>
      <c r="E23" s="77"/>
      <c r="F23" s="37"/>
    </row>
    <row r="24" spans="1:6" x14ac:dyDescent="0.3">
      <c r="A24" s="149"/>
      <c r="B24" s="40" t="s">
        <v>53</v>
      </c>
      <c r="C24" s="45"/>
      <c r="D24" s="45"/>
      <c r="E24" s="77"/>
      <c r="F24" s="37"/>
    </row>
    <row r="25" spans="1:6" ht="28.8" x14ac:dyDescent="0.3">
      <c r="A25" s="150"/>
      <c r="B25" s="78" t="s">
        <v>136</v>
      </c>
      <c r="C25" s="45"/>
      <c r="D25" s="28"/>
    </row>
  </sheetData>
  <mergeCells count="5">
    <mergeCell ref="B1:D1"/>
    <mergeCell ref="A14:A19"/>
    <mergeCell ref="A20:A25"/>
    <mergeCell ref="A3:E3"/>
    <mergeCell ref="D4:E6"/>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26"/>
  <sheetViews>
    <sheetView zoomScale="85" zoomScaleNormal="85" workbookViewId="0">
      <selection activeCell="H17" sqref="H17"/>
    </sheetView>
  </sheetViews>
  <sheetFormatPr defaultRowHeight="14.4" x14ac:dyDescent="0.3"/>
  <cols>
    <col min="1" max="1" width="53.44140625" style="3" customWidth="1"/>
    <col min="2" max="2" width="42.6640625" customWidth="1"/>
    <col min="3" max="3" width="24.44140625" customWidth="1"/>
    <col min="4" max="4" width="32"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6" ht="49.5" customHeight="1" thickBot="1" x14ac:dyDescent="0.35">
      <c r="A1" s="7" t="s">
        <v>138</v>
      </c>
      <c r="B1" s="154" t="str">
        <f>Ūdenssaimniec_ESOŠS_VĒRTĒJUMS!B1</f>
        <v>Mārupes aglomerācija  (Mārupes, Tīraines, Vētras un Jaunmārupes ciemati)</v>
      </c>
      <c r="C1" s="155"/>
      <c r="D1" s="58"/>
    </row>
    <row r="2" spans="1:6" ht="21.75" customHeight="1" x14ac:dyDescent="0.3">
      <c r="A2" s="5"/>
      <c r="B2" s="6"/>
      <c r="C2" s="6"/>
    </row>
    <row r="3" spans="1:6" s="4" customFormat="1" ht="18" customHeight="1" x14ac:dyDescent="0.3">
      <c r="A3" s="131" t="s">
        <v>62</v>
      </c>
      <c r="B3" s="131"/>
      <c r="C3" s="131"/>
    </row>
    <row r="4" spans="1:6" s="48" customFormat="1" ht="30" customHeight="1" x14ac:dyDescent="0.3">
      <c r="A4" s="49" t="s">
        <v>60</v>
      </c>
      <c r="B4" s="50" t="s">
        <v>143</v>
      </c>
      <c r="C4" s="28"/>
    </row>
    <row r="5" spans="1:6" s="48" customFormat="1" ht="30" customHeight="1" x14ac:dyDescent="0.3">
      <c r="A5" s="49" t="s">
        <v>61</v>
      </c>
      <c r="B5" s="30">
        <v>10511148</v>
      </c>
      <c r="C5" s="28"/>
    </row>
    <row r="6" spans="1:6" s="48" customFormat="1" ht="48" customHeight="1" x14ac:dyDescent="0.3">
      <c r="A6" s="49" t="s">
        <v>101</v>
      </c>
      <c r="B6" s="30">
        <v>956593.05</v>
      </c>
      <c r="C6" s="28"/>
      <c r="D6" s="47"/>
    </row>
    <row r="7" spans="1:6" s="48" customFormat="1" ht="30" customHeight="1" x14ac:dyDescent="0.3">
      <c r="A7" s="49" t="s">
        <v>100</v>
      </c>
      <c r="B7" s="63" t="s">
        <v>172</v>
      </c>
      <c r="C7" s="28"/>
      <c r="D7" s="47"/>
    </row>
    <row r="8" spans="1:6" s="48" customFormat="1" ht="28.8" x14ac:dyDescent="0.3">
      <c r="A8" s="49" t="s">
        <v>82</v>
      </c>
      <c r="B8" s="99">
        <f>(4687.27+70856)/(B14+B21)</f>
        <v>6.1469716856082955E-2</v>
      </c>
      <c r="C8" s="28"/>
      <c r="D8" s="47"/>
    </row>
    <row r="9" spans="1:6" s="48" customFormat="1" x14ac:dyDescent="0.3">
      <c r="A9" s="53"/>
      <c r="B9" s="54"/>
      <c r="C9" s="54"/>
      <c r="D9" s="47"/>
    </row>
    <row r="10" spans="1:6" ht="29.4" customHeight="1" x14ac:dyDescent="0.3">
      <c r="A10" s="41" t="s">
        <v>57</v>
      </c>
      <c r="B10" s="89">
        <v>1.72</v>
      </c>
      <c r="C10" s="28"/>
      <c r="D10" s="46"/>
    </row>
    <row r="11" spans="1:6" x14ac:dyDescent="0.3">
      <c r="A11" s="22" t="s">
        <v>59</v>
      </c>
      <c r="B11" s="89">
        <v>1.72</v>
      </c>
      <c r="C11" s="34">
        <f>B11/B10</f>
        <v>1</v>
      </c>
    </row>
    <row r="12" spans="1:6" x14ac:dyDescent="0.3">
      <c r="A12" s="22" t="s">
        <v>58</v>
      </c>
      <c r="B12" s="30">
        <v>0</v>
      </c>
      <c r="C12" s="29">
        <f>B12/B10</f>
        <v>0</v>
      </c>
    </row>
    <row r="13" spans="1:6" x14ac:dyDescent="0.3">
      <c r="A13" s="51" t="s">
        <v>137</v>
      </c>
      <c r="B13" s="89">
        <v>5.12</v>
      </c>
      <c r="C13" s="28"/>
      <c r="D13" s="58"/>
    </row>
    <row r="14" spans="1:6" ht="68.400000000000006" customHeight="1" x14ac:dyDescent="0.3">
      <c r="A14" s="51" t="s">
        <v>180</v>
      </c>
      <c r="B14" s="30">
        <v>765388</v>
      </c>
      <c r="C14" s="158" t="s">
        <v>184</v>
      </c>
    </row>
    <row r="15" spans="1:6" ht="68.400000000000006" customHeight="1" x14ac:dyDescent="0.3">
      <c r="A15" s="67" t="s">
        <v>181</v>
      </c>
      <c r="B15" s="33">
        <v>840676</v>
      </c>
      <c r="C15" s="159"/>
      <c r="F15" s="1"/>
    </row>
    <row r="16" spans="1:6" ht="91.2" customHeight="1" x14ac:dyDescent="0.3">
      <c r="A16" s="65" t="s">
        <v>66</v>
      </c>
      <c r="B16" s="97" t="s">
        <v>176</v>
      </c>
      <c r="C16" s="66"/>
      <c r="D16" s="46"/>
    </row>
    <row r="17" spans="1:4" ht="91.95" customHeight="1" x14ac:dyDescent="0.3">
      <c r="A17" s="65" t="s">
        <v>24</v>
      </c>
      <c r="B17" s="97" t="s">
        <v>173</v>
      </c>
      <c r="C17" s="66"/>
    </row>
    <row r="18" spans="1:4" ht="82.8" x14ac:dyDescent="0.3">
      <c r="A18" s="65" t="s">
        <v>87</v>
      </c>
      <c r="B18" s="97" t="s">
        <v>174</v>
      </c>
      <c r="C18" s="66"/>
      <c r="D18" s="58"/>
    </row>
    <row r="19" spans="1:4" ht="15.6" customHeight="1" x14ac:dyDescent="0.3">
      <c r="A19" s="156" t="s">
        <v>63</v>
      </c>
      <c r="B19" s="157"/>
      <c r="C19" s="156"/>
    </row>
    <row r="20" spans="1:4" x14ac:dyDescent="0.3">
      <c r="A20" s="41" t="s">
        <v>64</v>
      </c>
      <c r="B20" s="89">
        <v>0.64</v>
      </c>
      <c r="C20" s="28"/>
    </row>
    <row r="21" spans="1:4" x14ac:dyDescent="0.3">
      <c r="A21" s="51" t="s">
        <v>102</v>
      </c>
      <c r="B21" s="30">
        <f>491935.69-28372.69</f>
        <v>463563</v>
      </c>
      <c r="C21" s="160"/>
    </row>
    <row r="22" spans="1:4" x14ac:dyDescent="0.3">
      <c r="A22" s="51" t="s">
        <v>103</v>
      </c>
      <c r="B22" s="30">
        <f>434650*(B21/491935.69)</f>
        <v>409581.29699839425</v>
      </c>
      <c r="C22" s="161"/>
      <c r="D22" s="3"/>
    </row>
    <row r="23" spans="1:4" ht="96.6" x14ac:dyDescent="0.3">
      <c r="A23" s="52" t="s">
        <v>65</v>
      </c>
      <c r="B23" s="97" t="s">
        <v>177</v>
      </c>
      <c r="C23" s="28"/>
    </row>
    <row r="24" spans="1:4" ht="82.8" x14ac:dyDescent="0.3">
      <c r="A24" s="52" t="s">
        <v>24</v>
      </c>
      <c r="B24" s="97" t="s">
        <v>173</v>
      </c>
      <c r="C24" s="28"/>
    </row>
    <row r="25" spans="1:4" ht="82.8" x14ac:dyDescent="0.3">
      <c r="A25" s="52" t="s">
        <v>67</v>
      </c>
      <c r="B25" s="97" t="s">
        <v>175</v>
      </c>
      <c r="C25" s="28"/>
    </row>
    <row r="26" spans="1:4" x14ac:dyDescent="0.3">
      <c r="A26" s="58"/>
    </row>
  </sheetData>
  <mergeCells count="5">
    <mergeCell ref="B1:C1"/>
    <mergeCell ref="A3:C3"/>
    <mergeCell ref="A19:C19"/>
    <mergeCell ref="C14:C15"/>
    <mergeCell ref="C21:C22"/>
  </mergeCells>
  <pageMargins left="0.7" right="0.7" top="0.75" bottom="0.75" header="0.3" footer="0.3"/>
  <pageSetup paperSize="8" scale="8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Investiciju_plans_POST2020</vt:lpstr>
      <vt:lpstr>Par aglo. un dec.kan.</vt:lpstr>
      <vt:lpstr>Ūdenssaimniec_ESOŠS_VĒRTĒJUMS</vt:lpstr>
      <vt:lpstr>NAI_esošais_vērtējums</vt:lpstr>
      <vt:lpstr>Ekonomiskais_novērtējums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2020-04-08T11:43:45Z</dcterms:modified>
</cp:coreProperties>
</file>