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055" windowHeight="7935"/>
  </bookViews>
  <sheets>
    <sheet name="1.piel" sheetId="8" r:id="rId1"/>
    <sheet name="2.piel" sheetId="10" r:id="rId2"/>
    <sheet name="3.piel" sheetId="11" r:id="rId3"/>
    <sheet name="4.piel" sheetId="16" r:id="rId4"/>
    <sheet name="Sheet1" sheetId="17" r:id="rId5"/>
  </sheets>
  <definedNames>
    <definedName name="_xlnm.Print_Area" localSheetId="0">'1.piel'!$B$3:$BP$105</definedName>
    <definedName name="_xlnm.Print_Area" localSheetId="2">'3.piel'!$B$2:$K$98</definedName>
  </definedNames>
  <calcPr calcId="145621"/>
</workbook>
</file>

<file path=xl/calcChain.xml><?xml version="1.0" encoding="utf-8"?>
<calcChain xmlns="http://schemas.openxmlformats.org/spreadsheetml/2006/main">
  <c r="CI7" i="10" l="1"/>
  <c r="CG7" i="10"/>
  <c r="CE7" i="10"/>
  <c r="CC7" i="10"/>
  <c r="CA7" i="10"/>
  <c r="BW7" i="10"/>
  <c r="BX7" i="10"/>
  <c r="BY7" i="10" s="1"/>
  <c r="BZ7" i="10" s="1"/>
  <c r="BS7" i="10"/>
  <c r="BT7" i="10"/>
  <c r="BU7" i="10" s="1"/>
  <c r="BV7" i="10" s="1"/>
  <c r="BR7" i="10"/>
  <c r="DK85" i="10" l="1"/>
  <c r="DI86" i="10"/>
  <c r="DI85" i="10"/>
  <c r="CA86" i="10"/>
  <c r="CA85" i="10"/>
  <c r="DK59" i="10"/>
  <c r="DK58" i="10"/>
  <c r="DI59" i="10"/>
  <c r="DI60" i="10"/>
  <c r="DI58" i="10"/>
  <c r="CA59" i="10"/>
  <c r="CA60" i="10"/>
  <c r="CA58" i="10"/>
  <c r="DK51" i="10"/>
  <c r="DI51" i="10"/>
  <c r="CA51" i="10"/>
  <c r="DK39" i="10"/>
  <c r="DK40" i="10"/>
  <c r="DK42" i="10"/>
  <c r="DK38" i="10"/>
  <c r="DI39" i="10"/>
  <c r="DI40" i="10"/>
  <c r="DI41" i="10"/>
  <c r="DI42" i="10"/>
  <c r="DI38" i="10"/>
  <c r="CA39" i="10"/>
  <c r="CA40" i="10"/>
  <c r="CA41" i="10"/>
  <c r="CA42" i="10"/>
  <c r="CA38" i="10"/>
  <c r="DK21" i="10"/>
  <c r="DK20" i="10"/>
  <c r="DI21" i="10"/>
  <c r="DI20" i="10"/>
  <c r="DI19" i="10"/>
  <c r="CA21" i="10"/>
  <c r="CA20" i="10"/>
  <c r="CA19" i="10"/>
  <c r="DK14" i="10"/>
  <c r="DI14" i="10"/>
  <c r="CA14" i="10"/>
  <c r="DK31" i="10"/>
  <c r="DK32" i="10"/>
  <c r="DK33" i="10"/>
  <c r="DK34" i="10"/>
  <c r="DK35" i="10"/>
  <c r="DK36" i="10"/>
  <c r="DK37" i="10"/>
  <c r="DK45" i="10"/>
  <c r="DK46" i="10"/>
  <c r="DK47" i="10"/>
  <c r="DK48" i="10"/>
  <c r="DK50" i="10"/>
  <c r="DK52" i="10"/>
  <c r="DK55" i="10"/>
  <c r="DK61" i="10"/>
  <c r="DK64" i="10"/>
  <c r="DK65" i="10"/>
  <c r="DK67" i="10"/>
  <c r="DK68" i="10"/>
  <c r="DK69" i="10"/>
  <c r="DK70" i="10"/>
  <c r="DK73" i="10"/>
  <c r="DK74" i="10"/>
  <c r="DK76" i="10"/>
  <c r="DK79" i="10"/>
  <c r="DK80" i="10"/>
  <c r="DK81" i="10"/>
  <c r="DK82" i="10"/>
  <c r="DK83" i="10"/>
  <c r="DK84" i="10"/>
  <c r="DK91" i="10"/>
  <c r="DK92" i="10"/>
  <c r="DK93" i="10"/>
  <c r="DK95" i="10"/>
  <c r="DK96" i="10"/>
  <c r="DK97" i="10"/>
  <c r="DK98" i="10"/>
  <c r="DK99" i="10"/>
  <c r="DK100" i="10"/>
  <c r="DK101" i="10"/>
  <c r="DK102" i="10"/>
  <c r="DK103" i="10"/>
  <c r="DK104" i="10"/>
  <c r="DK23" i="10"/>
  <c r="DK24" i="10"/>
  <c r="DK25" i="10"/>
  <c r="DK28" i="10"/>
  <c r="DK29" i="10"/>
  <c r="DK30" i="10"/>
  <c r="DK13" i="10"/>
  <c r="DK15" i="10"/>
  <c r="DK16" i="10"/>
  <c r="DK10" i="10"/>
  <c r="DK11" i="10"/>
  <c r="DK12" i="10"/>
  <c r="DK9" i="10"/>
  <c r="DH86" i="10"/>
  <c r="DH85" i="10"/>
  <c r="DH51" i="10"/>
  <c r="DH20" i="10"/>
  <c r="DH21" i="10"/>
  <c r="DH19" i="10"/>
  <c r="DH14" i="10"/>
  <c r="DH59" i="10"/>
  <c r="DH60" i="10"/>
  <c r="DH58" i="10"/>
  <c r="DH39" i="10"/>
  <c r="DH40" i="10"/>
  <c r="DH42" i="10"/>
  <c r="DH38" i="10"/>
  <c r="I65" i="10" l="1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X65" i="10"/>
  <c r="Y65" i="10"/>
  <c r="Z65" i="10"/>
  <c r="AA65" i="10"/>
  <c r="AB65" i="10"/>
  <c r="AC65" i="10"/>
  <c r="AD65" i="10"/>
  <c r="AE65" i="10"/>
  <c r="AF65" i="10"/>
  <c r="AG65" i="10"/>
  <c r="AH65" i="10"/>
  <c r="AI65" i="10"/>
  <c r="AJ65" i="10"/>
  <c r="AK65" i="10"/>
  <c r="AL65" i="10"/>
  <c r="AM65" i="10"/>
  <c r="AN65" i="10"/>
  <c r="AO65" i="10"/>
  <c r="AP65" i="10"/>
  <c r="AQ65" i="10"/>
  <c r="AR65" i="10"/>
  <c r="AS65" i="10"/>
  <c r="AT65" i="10"/>
  <c r="AU65" i="10"/>
  <c r="AV65" i="10"/>
  <c r="AW65" i="10"/>
  <c r="AX65" i="10"/>
  <c r="AY65" i="10"/>
  <c r="AZ65" i="10"/>
  <c r="BA65" i="10"/>
  <c r="BB65" i="10"/>
  <c r="BC65" i="10"/>
  <c r="BD65" i="10"/>
  <c r="BE65" i="10"/>
  <c r="BF65" i="10"/>
  <c r="BG65" i="10"/>
  <c r="BH65" i="10"/>
  <c r="BI65" i="10"/>
  <c r="BJ65" i="10"/>
  <c r="BK65" i="10"/>
  <c r="BL65" i="10"/>
  <c r="BM65" i="10"/>
  <c r="BN65" i="10"/>
  <c r="BO65" i="10"/>
  <c r="G65" i="10"/>
  <c r="H65" i="10"/>
  <c r="F65" i="10"/>
  <c r="BQ105" i="8"/>
  <c r="BR105" i="8"/>
  <c r="BQ104" i="8"/>
  <c r="BR104" i="8"/>
  <c r="Z105" i="8"/>
  <c r="AA105" i="8"/>
  <c r="AB105" i="8"/>
  <c r="AC105" i="8"/>
  <c r="AD105" i="8"/>
  <c r="AE105" i="8"/>
  <c r="AF105" i="8"/>
  <c r="AG105" i="8"/>
  <c r="AH105" i="8"/>
  <c r="AI105" i="8"/>
  <c r="AJ105" i="8"/>
  <c r="AK105" i="8"/>
  <c r="AL105" i="8"/>
  <c r="AM105" i="8"/>
  <c r="AN105" i="8"/>
  <c r="AO105" i="8"/>
  <c r="AP105" i="8"/>
  <c r="AQ105" i="8"/>
  <c r="AR105" i="8"/>
  <c r="AS105" i="8"/>
  <c r="AT105" i="8"/>
  <c r="AU105" i="8"/>
  <c r="AV105" i="8"/>
  <c r="AW105" i="8"/>
  <c r="AX105" i="8"/>
  <c r="AY105" i="8"/>
  <c r="AZ105" i="8"/>
  <c r="BA105" i="8"/>
  <c r="BB105" i="8"/>
  <c r="BC105" i="8"/>
  <c r="BD105" i="8"/>
  <c r="BE105" i="8"/>
  <c r="BF105" i="8"/>
  <c r="BG105" i="8"/>
  <c r="BH105" i="8"/>
  <c r="BI105" i="8"/>
  <c r="BJ105" i="8"/>
  <c r="BK105" i="8"/>
  <c r="BL105" i="8"/>
  <c r="BM105" i="8"/>
  <c r="BN105" i="8"/>
  <c r="BO105" i="8"/>
  <c r="BP105" i="8"/>
  <c r="N105" i="8"/>
  <c r="O105" i="8"/>
  <c r="P105" i="8"/>
  <c r="Q105" i="8"/>
  <c r="R105" i="8"/>
  <c r="S105" i="8"/>
  <c r="T105" i="8"/>
  <c r="U105" i="8"/>
  <c r="V105" i="8"/>
  <c r="W105" i="8"/>
  <c r="X105" i="8"/>
  <c r="Y105" i="8"/>
  <c r="L105" i="8"/>
  <c r="J105" i="8"/>
  <c r="L104" i="8"/>
  <c r="J104" i="8"/>
  <c r="H105" i="8"/>
  <c r="I105" i="8"/>
  <c r="K105" i="8"/>
  <c r="M105" i="8"/>
  <c r="G105" i="8"/>
  <c r="O104" i="8"/>
  <c r="P104" i="8"/>
  <c r="Q104" i="8"/>
  <c r="R104" i="8"/>
  <c r="S104" i="8"/>
  <c r="T104" i="8"/>
  <c r="U104" i="8"/>
  <c r="V104" i="8"/>
  <c r="W104" i="8"/>
  <c r="X104" i="8"/>
  <c r="Y104" i="8"/>
  <c r="Z104" i="8"/>
  <c r="AA104" i="8"/>
  <c r="AB104" i="8"/>
  <c r="AC104" i="8"/>
  <c r="AD104" i="8"/>
  <c r="AE104" i="8"/>
  <c r="AF104" i="8"/>
  <c r="AG104" i="8"/>
  <c r="AH104" i="8"/>
  <c r="AI104" i="8"/>
  <c r="AJ104" i="8"/>
  <c r="AK104" i="8"/>
  <c r="AL104" i="8"/>
  <c r="AR104" i="8"/>
  <c r="AS104" i="8"/>
  <c r="AT104" i="8"/>
  <c r="AU104" i="8"/>
  <c r="AV104" i="8"/>
  <c r="AW104" i="8"/>
  <c r="AX104" i="8"/>
  <c r="AY104" i="8"/>
  <c r="AZ104" i="8"/>
  <c r="BA104" i="8"/>
  <c r="BB104" i="8"/>
  <c r="BC104" i="8"/>
  <c r="BD104" i="8"/>
  <c r="BE104" i="8"/>
  <c r="BF104" i="8"/>
  <c r="BG104" i="8"/>
  <c r="BH104" i="8"/>
  <c r="BI104" i="8"/>
  <c r="BJ104" i="8"/>
  <c r="BK104" i="8"/>
  <c r="BL104" i="8"/>
  <c r="BM104" i="8"/>
  <c r="BN104" i="8"/>
  <c r="BO104" i="8"/>
  <c r="BP104" i="8"/>
  <c r="H104" i="8"/>
  <c r="I104" i="8"/>
  <c r="K104" i="8"/>
  <c r="M104" i="8"/>
  <c r="N104" i="8"/>
  <c r="G104" i="8"/>
  <c r="H86" i="8"/>
  <c r="I86" i="8"/>
  <c r="K86" i="8"/>
  <c r="J86" i="8" s="1"/>
  <c r="M86" i="8"/>
  <c r="L86" i="8" s="1"/>
  <c r="G86" i="8"/>
  <c r="H76" i="8"/>
  <c r="I76" i="8"/>
  <c r="K76" i="8"/>
  <c r="J76" i="8" s="1"/>
  <c r="M76" i="8"/>
  <c r="L76" i="8" s="1"/>
  <c r="G76" i="8"/>
  <c r="J61" i="8"/>
  <c r="H61" i="8"/>
  <c r="I61" i="8"/>
  <c r="K61" i="8"/>
  <c r="M61" i="8"/>
  <c r="L61" i="8" s="1"/>
  <c r="G61" i="8"/>
  <c r="BQ42" i="8"/>
  <c r="BR42" i="8"/>
  <c r="H42" i="8"/>
  <c r="I42" i="8"/>
  <c r="K42" i="8"/>
  <c r="J42" i="8" s="1"/>
  <c r="M42" i="8"/>
  <c r="L42" i="8" s="1"/>
  <c r="G42" i="8"/>
  <c r="DL32" i="10" l="1"/>
  <c r="DL33" i="10"/>
  <c r="DL34" i="10"/>
  <c r="DL35" i="10"/>
  <c r="DL36" i="10"/>
  <c r="DL41" i="10"/>
  <c r="DL45" i="10"/>
  <c r="DL47" i="10"/>
  <c r="DL48" i="10"/>
  <c r="DL49" i="10"/>
  <c r="DL50" i="10"/>
  <c r="DL52" i="10"/>
  <c r="DL53" i="10"/>
  <c r="DL54" i="10"/>
  <c r="DL55" i="10"/>
  <c r="DL56" i="10"/>
  <c r="DL57" i="10"/>
  <c r="DL64" i="10"/>
  <c r="DL65" i="10"/>
  <c r="DL66" i="10"/>
  <c r="DL68" i="10"/>
  <c r="DL69" i="10"/>
  <c r="DL70" i="10"/>
  <c r="DL71" i="10"/>
  <c r="DL72" i="10"/>
  <c r="DL73" i="10"/>
  <c r="DL74" i="10"/>
  <c r="DL75" i="10"/>
  <c r="DL76" i="10"/>
  <c r="DL79" i="10"/>
  <c r="DL80" i="10"/>
  <c r="DL81" i="10"/>
  <c r="DL82" i="10"/>
  <c r="DL83" i="10"/>
  <c r="DL84" i="10"/>
  <c r="DL89" i="10"/>
  <c r="DL90" i="10"/>
  <c r="DL91" i="10"/>
  <c r="DL93" i="10"/>
  <c r="DL94" i="10"/>
  <c r="DL95" i="10"/>
  <c r="DL96" i="10"/>
  <c r="DL99" i="10"/>
  <c r="DL104" i="10"/>
  <c r="DL22" i="10"/>
  <c r="DL23" i="10"/>
  <c r="DL24" i="10"/>
  <c r="DL25" i="10"/>
  <c r="DL26" i="10"/>
  <c r="DL27" i="10"/>
  <c r="DL28" i="10"/>
  <c r="DL29" i="10"/>
  <c r="DL31" i="10"/>
  <c r="DL10" i="10"/>
  <c r="DL11" i="10"/>
  <c r="DL12" i="10"/>
  <c r="DL13" i="10"/>
  <c r="DL15" i="10"/>
  <c r="DL16" i="10"/>
  <c r="DL17" i="10"/>
  <c r="DL18" i="10"/>
  <c r="DL9" i="10"/>
  <c r="DL8" i="10"/>
  <c r="DI29" i="10"/>
  <c r="DI79" i="10"/>
  <c r="O30" i="16" l="1"/>
  <c r="BV65" i="10" l="1"/>
  <c r="K64" i="8"/>
  <c r="L64" i="8"/>
  <c r="M64" i="8" s="1"/>
  <c r="O68" i="16" l="1"/>
  <c r="O55" i="16"/>
  <c r="O78" i="16"/>
  <c r="O45" i="16"/>
  <c r="O37" i="16"/>
  <c r="O53" i="16"/>
  <c r="O47" i="16"/>
  <c r="O51" i="16"/>
  <c r="O21" i="16"/>
  <c r="O38" i="16"/>
  <c r="O20" i="16"/>
  <c r="O24" i="16"/>
  <c r="O89" i="16"/>
  <c r="O67" i="16"/>
  <c r="O94" i="16"/>
  <c r="O86" i="16"/>
  <c r="O26" i="16"/>
  <c r="O16" i="16"/>
  <c r="O40" i="16"/>
  <c r="O88" i="16"/>
  <c r="O69" i="16"/>
  <c r="O91" i="16"/>
  <c r="O83" i="16"/>
  <c r="O22" i="16"/>
  <c r="O17" i="16"/>
  <c r="O18" i="16"/>
  <c r="O31" i="16"/>
  <c r="O57" i="16"/>
  <c r="O27" i="16"/>
  <c r="O32" i="16"/>
  <c r="O92" i="16"/>
  <c r="O84" i="16"/>
  <c r="O65" i="16"/>
  <c r="O19" i="16"/>
  <c r="O77" i="16"/>
  <c r="O35" i="16"/>
  <c r="O39" i="16"/>
  <c r="O95" i="16"/>
  <c r="O75" i="16"/>
  <c r="O44" i="16"/>
  <c r="O29" i="16"/>
  <c r="O81" i="16"/>
  <c r="O72" i="16"/>
  <c r="O12" i="16"/>
  <c r="O58" i="16"/>
  <c r="O70" i="16"/>
  <c r="O93" i="16"/>
  <c r="O23" i="16"/>
  <c r="O98" i="16"/>
  <c r="O56" i="16"/>
  <c r="O66" i="16"/>
  <c r="O90" i="16"/>
  <c r="O48" i="16"/>
  <c r="O42" i="16"/>
  <c r="O49" i="16"/>
  <c r="O79" i="16"/>
  <c r="O36" i="16"/>
  <c r="O64" i="16"/>
  <c r="O6" i="16"/>
  <c r="O14" i="16"/>
  <c r="O9" i="16"/>
  <c r="O54" i="16"/>
  <c r="O34" i="16"/>
  <c r="O50" i="16"/>
  <c r="O33" i="16"/>
  <c r="O15" i="16"/>
  <c r="O25" i="16"/>
  <c r="O13" i="16"/>
  <c r="O28" i="16"/>
  <c r="O60" i="16"/>
  <c r="O80" i="16"/>
  <c r="O87" i="16"/>
  <c r="O63" i="16"/>
  <c r="O46" i="16"/>
  <c r="O85" i="16"/>
  <c r="O97" i="16"/>
  <c r="O71" i="16"/>
  <c r="O43" i="16"/>
  <c r="O8" i="16"/>
  <c r="O96" i="16"/>
  <c r="O7" i="16"/>
  <c r="O11" i="16"/>
  <c r="O52" i="16"/>
  <c r="O10" i="16"/>
  <c r="O62" i="16"/>
  <c r="O61" i="16"/>
  <c r="O74" i="16"/>
  <c r="O76" i="16"/>
  <c r="AK7" i="8" l="1"/>
  <c r="AK63" i="8"/>
  <c r="AK64" i="8"/>
  <c r="AK80" i="8"/>
  <c r="AK8" i="8"/>
  <c r="AK44" i="8"/>
  <c r="AK9" i="8"/>
  <c r="AK10" i="8"/>
  <c r="AK88" i="8"/>
  <c r="AK11" i="8"/>
  <c r="AK45" i="8"/>
  <c r="AK65" i="8"/>
  <c r="AK89" i="8"/>
  <c r="AK90" i="8"/>
  <c r="AK46" i="8"/>
  <c r="AK66" i="8"/>
  <c r="AK91" i="8"/>
  <c r="AK81" i="8"/>
  <c r="AK67" i="8"/>
  <c r="AK12" i="8"/>
  <c r="AK13" i="8"/>
  <c r="AK14" i="8"/>
  <c r="AK15" i="8"/>
  <c r="AK16" i="8"/>
  <c r="AK47" i="8"/>
  <c r="AK17" i="8"/>
  <c r="AK48" i="8"/>
  <c r="AK18" i="8"/>
  <c r="AK19" i="8"/>
  <c r="AK20" i="8"/>
  <c r="AK68" i="8"/>
  <c r="AK21" i="8"/>
  <c r="AK82" i="8"/>
  <c r="AK49" i="8"/>
  <c r="AK50" i="8"/>
  <c r="AK51" i="8"/>
  <c r="AK92" i="8"/>
  <c r="AK69" i="8"/>
  <c r="AK52" i="8"/>
  <c r="AK93" i="8"/>
  <c r="AK22" i="8"/>
  <c r="AK94" i="8"/>
  <c r="AK70" i="8"/>
  <c r="AK53" i="8"/>
  <c r="AK23" i="8"/>
  <c r="AK71" i="8"/>
  <c r="AK83" i="8"/>
  <c r="AK24" i="8"/>
  <c r="AK54" i="8"/>
  <c r="AK84" i="8"/>
  <c r="AK95" i="8"/>
  <c r="AK25" i="8"/>
  <c r="AK26" i="8"/>
  <c r="AK85" i="8"/>
  <c r="AK27" i="8"/>
  <c r="AK72" i="8"/>
  <c r="AK96" i="8"/>
  <c r="AK97" i="8"/>
  <c r="AK28" i="8"/>
  <c r="AK29" i="8"/>
  <c r="AK55" i="8"/>
  <c r="AK56" i="8"/>
  <c r="AK30" i="8"/>
  <c r="AK31" i="8"/>
  <c r="AK32" i="8"/>
  <c r="AK33" i="8"/>
  <c r="AK73" i="8"/>
  <c r="AK98" i="8"/>
  <c r="AK99" i="8"/>
  <c r="AK74" i="8"/>
  <c r="AK100" i="8"/>
  <c r="AK34" i="8"/>
  <c r="AK35" i="8"/>
  <c r="AK36" i="8"/>
  <c r="AK37" i="8"/>
  <c r="AK101" i="8"/>
  <c r="AK102" i="8"/>
  <c r="AK75" i="8"/>
  <c r="AK103" i="8"/>
  <c r="AK38" i="8"/>
  <c r="AK39" i="8"/>
  <c r="AK40" i="8"/>
  <c r="AK41" i="8"/>
  <c r="AK57" i="8"/>
  <c r="AK58" i="8"/>
  <c r="AK59" i="8"/>
  <c r="AK60" i="8"/>
  <c r="AJ7" i="8"/>
  <c r="AJ63" i="8"/>
  <c r="AJ64" i="8"/>
  <c r="AJ80" i="8"/>
  <c r="AJ8" i="8"/>
  <c r="AJ44" i="8"/>
  <c r="AJ9" i="8"/>
  <c r="AJ10" i="8"/>
  <c r="AJ88" i="8"/>
  <c r="AJ11" i="8"/>
  <c r="AJ45" i="8"/>
  <c r="AJ65" i="8"/>
  <c r="AJ89" i="8"/>
  <c r="AJ90" i="8"/>
  <c r="AJ46" i="8"/>
  <c r="AJ66" i="8"/>
  <c r="AJ91" i="8"/>
  <c r="AJ81" i="8"/>
  <c r="AJ67" i="8"/>
  <c r="AJ12" i="8"/>
  <c r="AJ13" i="8"/>
  <c r="AJ14" i="8"/>
  <c r="AJ15" i="8"/>
  <c r="AJ16" i="8"/>
  <c r="AJ47" i="8"/>
  <c r="AJ17" i="8"/>
  <c r="AJ48" i="8"/>
  <c r="AJ18" i="8"/>
  <c r="AJ19" i="8"/>
  <c r="AJ20" i="8"/>
  <c r="AJ68" i="8"/>
  <c r="AJ21" i="8"/>
  <c r="AJ82" i="8"/>
  <c r="AJ49" i="8"/>
  <c r="AJ50" i="8"/>
  <c r="AJ51" i="8"/>
  <c r="AJ92" i="8"/>
  <c r="AJ69" i="8"/>
  <c r="AJ52" i="8"/>
  <c r="AJ93" i="8"/>
  <c r="AJ22" i="8"/>
  <c r="AJ94" i="8"/>
  <c r="AJ70" i="8"/>
  <c r="AJ53" i="8"/>
  <c r="AJ23" i="8"/>
  <c r="AJ71" i="8"/>
  <c r="AJ83" i="8"/>
  <c r="AJ24" i="8"/>
  <c r="AJ54" i="8"/>
  <c r="AJ84" i="8"/>
  <c r="AJ95" i="8"/>
  <c r="AJ25" i="8"/>
  <c r="AJ26" i="8"/>
  <c r="AJ85" i="8"/>
  <c r="AJ27" i="8"/>
  <c r="AJ72" i="8"/>
  <c r="AJ96" i="8"/>
  <c r="AJ97" i="8"/>
  <c r="AJ28" i="8"/>
  <c r="AJ29" i="8"/>
  <c r="AJ55" i="8"/>
  <c r="AJ56" i="8"/>
  <c r="AJ30" i="8"/>
  <c r="AJ31" i="8"/>
  <c r="AJ32" i="8"/>
  <c r="AJ33" i="8"/>
  <c r="AJ73" i="8"/>
  <c r="AJ98" i="8"/>
  <c r="AJ99" i="8"/>
  <c r="AJ74" i="8"/>
  <c r="AJ100" i="8"/>
  <c r="AJ34" i="8"/>
  <c r="AJ35" i="8"/>
  <c r="AJ36" i="8"/>
  <c r="AJ37" i="8"/>
  <c r="AJ101" i="8"/>
  <c r="AJ102" i="8"/>
  <c r="AJ75" i="8"/>
  <c r="AJ103" i="8"/>
  <c r="AJ38" i="8"/>
  <c r="AJ39" i="8"/>
  <c r="AJ40" i="8"/>
  <c r="AJ41" i="8"/>
  <c r="AJ57" i="8"/>
  <c r="AJ58" i="8"/>
  <c r="AJ59" i="8"/>
  <c r="AJ60" i="8"/>
  <c r="AI7" i="8"/>
  <c r="AI63" i="8"/>
  <c r="AI64" i="8"/>
  <c r="AI80" i="8"/>
  <c r="AI8" i="8"/>
  <c r="AI44" i="8"/>
  <c r="AI9" i="8"/>
  <c r="AI10" i="8"/>
  <c r="AI88" i="8"/>
  <c r="AI11" i="8"/>
  <c r="AI45" i="8"/>
  <c r="AI65" i="8"/>
  <c r="AI89" i="8"/>
  <c r="AI90" i="8"/>
  <c r="AI46" i="8"/>
  <c r="AI66" i="8"/>
  <c r="AI91" i="8"/>
  <c r="AI81" i="8"/>
  <c r="AI67" i="8"/>
  <c r="AI12" i="8"/>
  <c r="AI13" i="8"/>
  <c r="AI14" i="8"/>
  <c r="AI15" i="8"/>
  <c r="AI16" i="8"/>
  <c r="AI47" i="8"/>
  <c r="AI17" i="8"/>
  <c r="AI48" i="8"/>
  <c r="AI18" i="8"/>
  <c r="AI19" i="8"/>
  <c r="AI20" i="8"/>
  <c r="AI68" i="8"/>
  <c r="AI21" i="8"/>
  <c r="AI82" i="8"/>
  <c r="AI49" i="8"/>
  <c r="AI50" i="8"/>
  <c r="AI51" i="8"/>
  <c r="AI92" i="8"/>
  <c r="AI69" i="8"/>
  <c r="AI52" i="8"/>
  <c r="AI93" i="8"/>
  <c r="AI22" i="8"/>
  <c r="AI94" i="8"/>
  <c r="AI70" i="8"/>
  <c r="AI53" i="8"/>
  <c r="AI23" i="8"/>
  <c r="AI71" i="8"/>
  <c r="AI83" i="8"/>
  <c r="AI24" i="8"/>
  <c r="AI54" i="8"/>
  <c r="AI84" i="8"/>
  <c r="AI95" i="8"/>
  <c r="AI25" i="8"/>
  <c r="AI26" i="8"/>
  <c r="AI85" i="8"/>
  <c r="AI27" i="8"/>
  <c r="AI72" i="8"/>
  <c r="AI96" i="8"/>
  <c r="AI97" i="8"/>
  <c r="AI28" i="8"/>
  <c r="AI29" i="8"/>
  <c r="AI55" i="8"/>
  <c r="AI56" i="8"/>
  <c r="AI30" i="8"/>
  <c r="AI31" i="8"/>
  <c r="AI32" i="8"/>
  <c r="AI33" i="8"/>
  <c r="AI73" i="8"/>
  <c r="AI98" i="8"/>
  <c r="AI99" i="8"/>
  <c r="AI74" i="8"/>
  <c r="AI100" i="8"/>
  <c r="AI34" i="8"/>
  <c r="AI35" i="8"/>
  <c r="AI36" i="8"/>
  <c r="AI37" i="8"/>
  <c r="AI101" i="8"/>
  <c r="AI102" i="8"/>
  <c r="AI75" i="8"/>
  <c r="AI103" i="8"/>
  <c r="AI38" i="8"/>
  <c r="AI39" i="8"/>
  <c r="AI40" i="8"/>
  <c r="AI41" i="8"/>
  <c r="AI57" i="8"/>
  <c r="AI58" i="8"/>
  <c r="AI59" i="8"/>
  <c r="AI60" i="8"/>
  <c r="AI76" i="8" l="1"/>
  <c r="AK76" i="8"/>
  <c r="AJ76" i="8"/>
  <c r="AI61" i="8"/>
  <c r="AK61" i="8"/>
  <c r="AJ61" i="8"/>
  <c r="AJ42" i="8"/>
  <c r="AI42" i="8"/>
  <c r="AK42" i="8"/>
  <c r="BW79" i="10"/>
  <c r="BX79" i="10" s="1"/>
  <c r="BY79" i="10" s="1"/>
  <c r="BZ79" i="10" s="1"/>
  <c r="BW8" i="10"/>
  <c r="BX8" i="10" s="1"/>
  <c r="BY8" i="10" s="1"/>
  <c r="BZ8" i="10" s="1"/>
  <c r="CA8" i="10" s="1"/>
  <c r="BW80" i="10"/>
  <c r="BX80" i="10" s="1"/>
  <c r="BY80" i="10" s="1"/>
  <c r="BZ80" i="10" s="1"/>
  <c r="CA80" i="10" s="1"/>
  <c r="DI80" i="10" l="1"/>
  <c r="DI8" i="10"/>
  <c r="CC8" i="10"/>
  <c r="CB8" i="10"/>
  <c r="CC79" i="10"/>
  <c r="CB79" i="10"/>
  <c r="CC80" i="10"/>
  <c r="CB80" i="10"/>
  <c r="CR61" i="10"/>
  <c r="CS61" i="10" s="1"/>
  <c r="CT61" i="10" s="1"/>
  <c r="CU61" i="10" s="1"/>
  <c r="CV61" i="10" s="1"/>
  <c r="CW61" i="10" s="1"/>
  <c r="CX61" i="10" s="1"/>
  <c r="CY61" i="10" s="1"/>
  <c r="CZ61" i="10" s="1"/>
  <c r="CV60" i="10"/>
  <c r="CW60" i="10" s="1"/>
  <c r="CX60" i="10" s="1"/>
  <c r="CY60" i="10" s="1"/>
  <c r="CZ60" i="10" s="1"/>
  <c r="CR58" i="10"/>
  <c r="CS58" i="10" s="1"/>
  <c r="CT58" i="10" s="1"/>
  <c r="CU58" i="10" s="1"/>
  <c r="CV58" i="10" s="1"/>
  <c r="CW58" i="10" s="1"/>
  <c r="CX58" i="10" s="1"/>
  <c r="CY58" i="10" s="1"/>
  <c r="CZ58" i="10" s="1"/>
  <c r="CV42" i="10"/>
  <c r="CW42" i="10" s="1"/>
  <c r="CX42" i="10" s="1"/>
  <c r="CY42" i="10" s="1"/>
  <c r="CZ42" i="10" s="1"/>
  <c r="CV59" i="10"/>
  <c r="CW59" i="10" s="1"/>
  <c r="CX59" i="10" s="1"/>
  <c r="CY59" i="10" s="1"/>
  <c r="CZ59" i="10" s="1"/>
  <c r="CV40" i="10"/>
  <c r="CW40" i="10" s="1"/>
  <c r="CX40" i="10" s="1"/>
  <c r="CY40" i="10" s="1"/>
  <c r="CZ40" i="10" s="1"/>
  <c r="CW41" i="10"/>
  <c r="CX41" i="10" s="1"/>
  <c r="CY41" i="10" s="1"/>
  <c r="CZ41" i="10" s="1"/>
  <c r="CV101" i="10"/>
  <c r="CW101" i="10" s="1"/>
  <c r="CX101" i="10" s="1"/>
  <c r="CY101" i="10" s="1"/>
  <c r="CZ101" i="10" s="1"/>
  <c r="CV36" i="10"/>
  <c r="CW36" i="10" s="1"/>
  <c r="CX36" i="10" s="1"/>
  <c r="CY36" i="10" s="1"/>
  <c r="CZ36" i="10" s="1"/>
  <c r="CV38" i="10"/>
  <c r="CW38" i="10" s="1"/>
  <c r="CX38" i="10" s="1"/>
  <c r="CY38" i="10" s="1"/>
  <c r="CZ38" i="10" s="1"/>
  <c r="CV102" i="10"/>
  <c r="CW102" i="10" s="1"/>
  <c r="CX102" i="10" s="1"/>
  <c r="CY102" i="10" s="1"/>
  <c r="CZ102" i="10" s="1"/>
  <c r="CV76" i="10"/>
  <c r="CW76" i="10" s="1"/>
  <c r="CX76" i="10" s="1"/>
  <c r="CY76" i="10" s="1"/>
  <c r="CZ76" i="10" s="1"/>
  <c r="CV104" i="10"/>
  <c r="CW104" i="10" s="1"/>
  <c r="CX104" i="10" s="1"/>
  <c r="CY104" i="10" s="1"/>
  <c r="CZ104" i="10" s="1"/>
  <c r="CV39" i="10"/>
  <c r="CW39" i="10" s="1"/>
  <c r="CX39" i="10" s="1"/>
  <c r="CY39" i="10" s="1"/>
  <c r="CZ39" i="10" s="1"/>
  <c r="CR100" i="10"/>
  <c r="CS100" i="10" s="1"/>
  <c r="CT100" i="10" s="1"/>
  <c r="CU100" i="10" s="1"/>
  <c r="CV100" i="10" s="1"/>
  <c r="CW100" i="10" s="1"/>
  <c r="CX100" i="10" s="1"/>
  <c r="CY100" i="10" s="1"/>
  <c r="CZ100" i="10" s="1"/>
  <c r="CR75" i="10"/>
  <c r="CS75" i="10" s="1"/>
  <c r="CT75" i="10" s="1"/>
  <c r="CU75" i="10" s="1"/>
  <c r="CV75" i="10" s="1"/>
  <c r="CW75" i="10" s="1"/>
  <c r="CX75" i="10" s="1"/>
  <c r="CY75" i="10" s="1"/>
  <c r="CZ75" i="10" s="1"/>
  <c r="CU34" i="10"/>
  <c r="CV34" i="10" s="1"/>
  <c r="CW34" i="10" s="1"/>
  <c r="CX34" i="10" s="1"/>
  <c r="CY34" i="10" s="1"/>
  <c r="CZ34" i="10" s="1"/>
  <c r="CR31" i="10"/>
  <c r="CS31" i="10" s="1"/>
  <c r="CT31" i="10" s="1"/>
  <c r="CU31" i="10" s="1"/>
  <c r="CV31" i="10" s="1"/>
  <c r="CW31" i="10" s="1"/>
  <c r="CX31" i="10" s="1"/>
  <c r="CY31" i="10" s="1"/>
  <c r="CZ31" i="10" s="1"/>
  <c r="CV29" i="10"/>
  <c r="CW29" i="10" s="1"/>
  <c r="CX29" i="10" s="1"/>
  <c r="CY29" i="10" s="1"/>
  <c r="CZ29" i="10" s="1"/>
  <c r="CV56" i="10"/>
  <c r="CW56" i="10" s="1"/>
  <c r="CX56" i="10" s="1"/>
  <c r="CY56" i="10" s="1"/>
  <c r="CZ56" i="10" s="1"/>
  <c r="CV57" i="10"/>
  <c r="CW57" i="10" s="1"/>
  <c r="CX57" i="10" s="1"/>
  <c r="CY57" i="10" s="1"/>
  <c r="CZ57" i="10" s="1"/>
  <c r="CV32" i="10"/>
  <c r="CW32" i="10" s="1"/>
  <c r="CX32" i="10" s="1"/>
  <c r="CY32" i="10" s="1"/>
  <c r="CZ32" i="10" s="1"/>
  <c r="CV74" i="10"/>
  <c r="CW74" i="10" s="1"/>
  <c r="CX74" i="10" s="1"/>
  <c r="CY74" i="10" s="1"/>
  <c r="CZ74" i="10" s="1"/>
  <c r="CV99" i="10"/>
  <c r="CW99" i="10" s="1"/>
  <c r="CX99" i="10" s="1"/>
  <c r="CY99" i="10" s="1"/>
  <c r="CZ99" i="10" s="1"/>
  <c r="CT28" i="10"/>
  <c r="CU28" i="10" s="1"/>
  <c r="CV28" i="10" s="1"/>
  <c r="CW28" i="10" s="1"/>
  <c r="CX28" i="10" s="1"/>
  <c r="CY28" i="10" s="1"/>
  <c r="CZ28" i="10" s="1"/>
  <c r="CP96" i="10"/>
  <c r="CQ96" i="10" s="1"/>
  <c r="CR96" i="10" s="1"/>
  <c r="CS96" i="10" s="1"/>
  <c r="CT96" i="10" s="1"/>
  <c r="CU96" i="10" s="1"/>
  <c r="CV96" i="10" s="1"/>
  <c r="CW96" i="10" s="1"/>
  <c r="CX96" i="10" s="1"/>
  <c r="CY96" i="10" s="1"/>
  <c r="CZ96" i="10" s="1"/>
  <c r="CT55" i="10"/>
  <c r="CU55" i="10" s="1"/>
  <c r="CV55" i="10" s="1"/>
  <c r="CW55" i="10" s="1"/>
  <c r="CX55" i="10" s="1"/>
  <c r="CY55" i="10" s="1"/>
  <c r="CZ55" i="10" s="1"/>
  <c r="CT66" i="10"/>
  <c r="CU66" i="10" s="1"/>
  <c r="CV66" i="10" s="1"/>
  <c r="CW66" i="10" s="1"/>
  <c r="CX66" i="10" s="1"/>
  <c r="CY66" i="10" s="1"/>
  <c r="CZ66" i="10" s="1"/>
  <c r="CT90" i="10"/>
  <c r="CU90" i="10" s="1"/>
  <c r="CV90" i="10" s="1"/>
  <c r="CW90" i="10" s="1"/>
  <c r="CX90" i="10" s="1"/>
  <c r="CY90" i="10" s="1"/>
  <c r="CZ90" i="10" s="1"/>
  <c r="CX103" i="10"/>
  <c r="CY103" i="10" s="1"/>
  <c r="CZ103" i="10" s="1"/>
  <c r="CW98" i="10"/>
  <c r="CX98" i="10" s="1"/>
  <c r="CY98" i="10" s="1"/>
  <c r="CZ98" i="10" s="1"/>
  <c r="CV86" i="10"/>
  <c r="CW86" i="10" s="1"/>
  <c r="CX86" i="10" s="1"/>
  <c r="CY86" i="10" s="1"/>
  <c r="CZ86" i="10" s="1"/>
  <c r="CV73" i="10"/>
  <c r="CW73" i="10" s="1"/>
  <c r="CX73" i="10" s="1"/>
  <c r="CY73" i="10" s="1"/>
  <c r="CZ73" i="10" s="1"/>
  <c r="CV97" i="10"/>
  <c r="CW97" i="10" s="1"/>
  <c r="CX97" i="10" s="1"/>
  <c r="CY97" i="10" s="1"/>
  <c r="CZ97" i="10" s="1"/>
  <c r="CV85" i="10"/>
  <c r="CW85" i="10" s="1"/>
  <c r="CX85" i="10" s="1"/>
  <c r="CY85" i="10" s="1"/>
  <c r="CZ85" i="10" s="1"/>
  <c r="CV26" i="10"/>
  <c r="CW26" i="10" s="1"/>
  <c r="CX26" i="10" s="1"/>
  <c r="CY26" i="10" s="1"/>
  <c r="CZ26" i="10" s="1"/>
  <c r="CV27" i="10"/>
  <c r="CW27" i="10" s="1"/>
  <c r="CX27" i="10" s="1"/>
  <c r="CY27" i="10" s="1"/>
  <c r="CZ27" i="10" s="1"/>
  <c r="CV71" i="10"/>
  <c r="CW71" i="10" s="1"/>
  <c r="CX71" i="10" s="1"/>
  <c r="CY71" i="10" s="1"/>
  <c r="CZ71" i="10" s="1"/>
  <c r="CV54" i="10"/>
  <c r="CW54" i="10" s="1"/>
  <c r="CX54" i="10" s="1"/>
  <c r="CY54" i="10" s="1"/>
  <c r="CZ54" i="10" s="1"/>
  <c r="CV24" i="10"/>
  <c r="CW24" i="10" s="1"/>
  <c r="CX24" i="10" s="1"/>
  <c r="CY24" i="10" s="1"/>
  <c r="CZ24" i="10" s="1"/>
  <c r="CV72" i="10"/>
  <c r="CW72" i="10" s="1"/>
  <c r="CX72" i="10" s="1"/>
  <c r="CY72" i="10" s="1"/>
  <c r="CZ72" i="10" s="1"/>
  <c r="CV84" i="10"/>
  <c r="CW84" i="10" s="1"/>
  <c r="CX84" i="10" s="1"/>
  <c r="CY84" i="10" s="1"/>
  <c r="CZ84" i="10" s="1"/>
  <c r="CV25" i="10"/>
  <c r="CW25" i="10" s="1"/>
  <c r="CX25" i="10" s="1"/>
  <c r="CY25" i="10" s="1"/>
  <c r="CZ25" i="10" s="1"/>
  <c r="CV83" i="10"/>
  <c r="CW83" i="10" s="1"/>
  <c r="CX83" i="10" s="1"/>
  <c r="CY83" i="10" s="1"/>
  <c r="CZ83" i="10" s="1"/>
  <c r="CV50" i="10"/>
  <c r="CW50" i="10" s="1"/>
  <c r="CX50" i="10" s="1"/>
  <c r="CY50" i="10" s="1"/>
  <c r="CZ50" i="10" s="1"/>
  <c r="CV93" i="10"/>
  <c r="CW93" i="10" s="1"/>
  <c r="CX93" i="10" s="1"/>
  <c r="CY93" i="10" s="1"/>
  <c r="CZ93" i="10" s="1"/>
  <c r="CV70" i="10"/>
  <c r="CW70" i="10" s="1"/>
  <c r="CX70" i="10" s="1"/>
  <c r="CY70" i="10" s="1"/>
  <c r="CZ70" i="10" s="1"/>
  <c r="CV53" i="10"/>
  <c r="CW53" i="10" s="1"/>
  <c r="CX53" i="10" s="1"/>
  <c r="CY53" i="10" s="1"/>
  <c r="CZ53" i="10" s="1"/>
  <c r="CV94" i="10"/>
  <c r="CW94" i="10" s="1"/>
  <c r="CX94" i="10" s="1"/>
  <c r="CY94" i="10" s="1"/>
  <c r="CZ94" i="10" s="1"/>
  <c r="CV23" i="10"/>
  <c r="CW23" i="10" s="1"/>
  <c r="CX23" i="10" s="1"/>
  <c r="CY23" i="10" s="1"/>
  <c r="CZ23" i="10" s="1"/>
  <c r="CV95" i="10"/>
  <c r="CW95" i="10" s="1"/>
  <c r="CX95" i="10" s="1"/>
  <c r="CY95" i="10" s="1"/>
  <c r="CZ95" i="10" s="1"/>
  <c r="CV20" i="10"/>
  <c r="CW20" i="10" s="1"/>
  <c r="CX20" i="10" s="1"/>
  <c r="CY20" i="10" s="1"/>
  <c r="CZ20" i="10" s="1"/>
  <c r="CV21" i="10"/>
  <c r="CW21" i="10" s="1"/>
  <c r="CX21" i="10" s="1"/>
  <c r="CY21" i="10" s="1"/>
  <c r="CZ21" i="10" s="1"/>
  <c r="CV69" i="10"/>
  <c r="CW69" i="10" s="1"/>
  <c r="CX69" i="10" s="1"/>
  <c r="CY69" i="10" s="1"/>
  <c r="CZ69" i="10" s="1"/>
  <c r="CV22" i="10"/>
  <c r="CW22" i="10" s="1"/>
  <c r="CX22" i="10" s="1"/>
  <c r="CY22" i="10" s="1"/>
  <c r="CZ22" i="10" s="1"/>
  <c r="CV18" i="10"/>
  <c r="CW18" i="10" s="1"/>
  <c r="CX18" i="10" s="1"/>
  <c r="CY18" i="10" s="1"/>
  <c r="CZ18" i="10" s="1"/>
  <c r="CV19" i="10"/>
  <c r="CW19" i="10" s="1"/>
  <c r="CX19" i="10" s="1"/>
  <c r="CY19" i="10" s="1"/>
  <c r="CZ19" i="10" s="1"/>
  <c r="CV15" i="10"/>
  <c r="CW15" i="10" s="1"/>
  <c r="CX15" i="10" s="1"/>
  <c r="CY15" i="10" s="1"/>
  <c r="CZ15" i="10" s="1"/>
  <c r="CV16" i="10"/>
  <c r="CW16" i="10" s="1"/>
  <c r="CX16" i="10" s="1"/>
  <c r="CY16" i="10" s="1"/>
  <c r="CZ16" i="10" s="1"/>
  <c r="CV17" i="10"/>
  <c r="CW17" i="10" s="1"/>
  <c r="CX17" i="10" s="1"/>
  <c r="CY17" i="10" s="1"/>
  <c r="CZ17" i="10" s="1"/>
  <c r="CT14" i="10"/>
  <c r="CU14" i="10" s="1"/>
  <c r="CV14" i="10" s="1"/>
  <c r="CW14" i="10" s="1"/>
  <c r="CX14" i="10" s="1"/>
  <c r="CY14" i="10" s="1"/>
  <c r="CZ14" i="10" s="1"/>
  <c r="CV82" i="10"/>
  <c r="CW82" i="10" s="1"/>
  <c r="CX82" i="10" s="1"/>
  <c r="CY82" i="10" s="1"/>
  <c r="CZ82" i="10" s="1"/>
  <c r="CV68" i="10"/>
  <c r="CW68" i="10" s="1"/>
  <c r="CX68" i="10" s="1"/>
  <c r="CY68" i="10" s="1"/>
  <c r="CZ68" i="10" s="1"/>
  <c r="CV13" i="10"/>
  <c r="CW13" i="10" s="1"/>
  <c r="CX13" i="10" s="1"/>
  <c r="CY13" i="10" s="1"/>
  <c r="CZ13" i="10" s="1"/>
  <c r="CV67" i="10"/>
  <c r="CW67" i="10" s="1"/>
  <c r="CX67" i="10" s="1"/>
  <c r="CY67" i="10" s="1"/>
  <c r="CZ67" i="10" s="1"/>
  <c r="CW92" i="10"/>
  <c r="CX92" i="10" s="1"/>
  <c r="CY92" i="10" s="1"/>
  <c r="CZ92" i="10" s="1"/>
  <c r="CV12" i="10"/>
  <c r="CW12" i="10" s="1"/>
  <c r="CX12" i="10" s="1"/>
  <c r="CY12" i="10" s="1"/>
  <c r="CZ12" i="10" s="1"/>
  <c r="CV46" i="10"/>
  <c r="CW46" i="10" s="1"/>
  <c r="CX46" i="10" s="1"/>
  <c r="CY46" i="10" s="1"/>
  <c r="CZ46" i="10" s="1"/>
  <c r="CV91" i="10"/>
  <c r="CW10" i="10"/>
  <c r="CX10" i="10" s="1"/>
  <c r="CY10" i="10" s="1"/>
  <c r="CZ10" i="10" s="1"/>
  <c r="CW11" i="10"/>
  <c r="CX11" i="10" s="1"/>
  <c r="CY11" i="10" s="1"/>
  <c r="CZ11" i="10" s="1"/>
  <c r="CW89" i="10"/>
  <c r="CX89" i="10" s="1"/>
  <c r="CY89" i="10" s="1"/>
  <c r="CZ89" i="10" s="1"/>
  <c r="CW91" i="10"/>
  <c r="CX91" i="10" s="1"/>
  <c r="CY91" i="10" s="1"/>
  <c r="CZ91" i="10" s="1"/>
  <c r="CT9" i="10"/>
  <c r="CU9" i="10" s="1"/>
  <c r="CV9" i="10" s="1"/>
  <c r="CW9" i="10" s="1"/>
  <c r="CX9" i="10" s="1"/>
  <c r="CY9" i="10" s="1"/>
  <c r="CZ9" i="10" s="1"/>
  <c r="CV80" i="10"/>
  <c r="CW80" i="10" s="1"/>
  <c r="CX80" i="10" s="1"/>
  <c r="CY80" i="10" s="1"/>
  <c r="CZ80" i="10" s="1"/>
  <c r="CV64" i="10"/>
  <c r="CW64" i="10" s="1"/>
  <c r="CX64" i="10" s="1"/>
  <c r="CY64" i="10" s="1"/>
  <c r="CZ64" i="10" s="1"/>
  <c r="CV65" i="10"/>
  <c r="CW65" i="10" s="1"/>
  <c r="CX65" i="10" s="1"/>
  <c r="CY65" i="10" s="1"/>
  <c r="CZ65" i="10" s="1"/>
  <c r="DA65" i="10" s="1"/>
  <c r="DB65" i="10" s="1"/>
  <c r="DC65" i="10" s="1"/>
  <c r="DD65" i="10" s="1"/>
  <c r="DE65" i="10" s="1"/>
  <c r="DF65" i="10" s="1"/>
  <c r="DG65" i="10" s="1"/>
  <c r="CU8" i="10"/>
  <c r="CV8" i="10" s="1"/>
  <c r="CW8" i="10" s="1"/>
  <c r="CX8" i="10" s="1"/>
  <c r="CY8" i="10" s="1"/>
  <c r="CZ8" i="10" s="1"/>
  <c r="CP79" i="10"/>
  <c r="CQ79" i="10" s="1"/>
  <c r="CR79" i="10" s="1"/>
  <c r="CS79" i="10" s="1"/>
  <c r="CT79" i="10" s="1"/>
  <c r="CU79" i="10" s="1"/>
  <c r="CV79" i="10" s="1"/>
  <c r="CW79" i="10" s="1"/>
  <c r="CX79" i="10" s="1"/>
  <c r="CY79" i="10" s="1"/>
  <c r="CZ79" i="10" s="1"/>
  <c r="BS61" i="10"/>
  <c r="BT61" i="10" s="1"/>
  <c r="BU61" i="10" s="1"/>
  <c r="BV61" i="10" s="1"/>
  <c r="BW61" i="10" s="1"/>
  <c r="BX61" i="10" s="1"/>
  <c r="BY61" i="10" s="1"/>
  <c r="BZ61" i="10" s="1"/>
  <c r="CA61" i="10" s="1"/>
  <c r="DI61" i="10" s="1"/>
  <c r="BS58" i="10"/>
  <c r="BT58" i="10" s="1"/>
  <c r="BU58" i="10" s="1"/>
  <c r="BV58" i="10" s="1"/>
  <c r="BW58" i="10" s="1"/>
  <c r="BX58" i="10" s="1"/>
  <c r="BY58" i="10" s="1"/>
  <c r="BZ58" i="10" s="1"/>
  <c r="BS100" i="10"/>
  <c r="BT100" i="10" s="1"/>
  <c r="BU100" i="10" s="1"/>
  <c r="BV100" i="10" s="1"/>
  <c r="BW100" i="10" s="1"/>
  <c r="BX100" i="10" s="1"/>
  <c r="BY100" i="10" s="1"/>
  <c r="BZ100" i="10" s="1"/>
  <c r="CA100" i="10" s="1"/>
  <c r="DI100" i="10" s="1"/>
  <c r="BV34" i="10"/>
  <c r="BW34" i="10" s="1"/>
  <c r="BX34" i="10" s="1"/>
  <c r="BY34" i="10" s="1"/>
  <c r="BZ34" i="10" s="1"/>
  <c r="CA34" i="10" s="1"/>
  <c r="DI34" i="10" s="1"/>
  <c r="BU28" i="10"/>
  <c r="BV28" i="10" s="1"/>
  <c r="BW28" i="10" s="1"/>
  <c r="BX28" i="10" s="1"/>
  <c r="BY28" i="10" s="1"/>
  <c r="BZ28" i="10" s="1"/>
  <c r="CA28" i="10" s="1"/>
  <c r="DI28" i="10" s="1"/>
  <c r="BQ96" i="10"/>
  <c r="BR96" i="10" s="1"/>
  <c r="BS96" i="10" s="1"/>
  <c r="BT96" i="10" s="1"/>
  <c r="BU96" i="10" s="1"/>
  <c r="BV96" i="10" s="1"/>
  <c r="BW96" i="10" s="1"/>
  <c r="BX96" i="10" s="1"/>
  <c r="BY96" i="10" s="1"/>
  <c r="BZ96" i="10" s="1"/>
  <c r="CA96" i="10" s="1"/>
  <c r="DI96" i="10" s="1"/>
  <c r="BU55" i="10"/>
  <c r="BV55" i="10" s="1"/>
  <c r="BU14" i="10"/>
  <c r="BV14" i="10" s="1"/>
  <c r="BW14" i="10" s="1"/>
  <c r="BX14" i="10" s="1"/>
  <c r="BY14" i="10" s="1"/>
  <c r="BZ14" i="10" s="1"/>
  <c r="BW59" i="10"/>
  <c r="BX59" i="10" s="1"/>
  <c r="BY59" i="10" s="1"/>
  <c r="BZ59" i="10" s="1"/>
  <c r="BW60" i="10"/>
  <c r="BX60" i="10" s="1"/>
  <c r="BY60" i="10" s="1"/>
  <c r="BZ60" i="10" s="1"/>
  <c r="BX41" i="10"/>
  <c r="BY41" i="10" s="1"/>
  <c r="BZ41" i="10" s="1"/>
  <c r="BW56" i="10"/>
  <c r="BX56" i="10" s="1"/>
  <c r="BY56" i="10" s="1"/>
  <c r="BZ56" i="10" s="1"/>
  <c r="CA56" i="10" s="1"/>
  <c r="DI56" i="10" s="1"/>
  <c r="BW57" i="10"/>
  <c r="BX57" i="10" s="1"/>
  <c r="BY57" i="10" s="1"/>
  <c r="BZ57" i="10" s="1"/>
  <c r="CA57" i="10" s="1"/>
  <c r="DI57" i="10" s="1"/>
  <c r="BW74" i="10"/>
  <c r="BX74" i="10" s="1"/>
  <c r="BY74" i="10" s="1"/>
  <c r="BZ74" i="10" s="1"/>
  <c r="CA74" i="10" s="1"/>
  <c r="DI74" i="10" s="1"/>
  <c r="BW99" i="10"/>
  <c r="BX99" i="10" s="1"/>
  <c r="BY99" i="10" s="1"/>
  <c r="BZ99" i="10" s="1"/>
  <c r="CA99" i="10" s="1"/>
  <c r="DI99" i="10" s="1"/>
  <c r="BW75" i="10"/>
  <c r="BX75" i="10" s="1"/>
  <c r="BY75" i="10" s="1"/>
  <c r="BZ75" i="10" s="1"/>
  <c r="CA75" i="10" s="1"/>
  <c r="DI75" i="10" s="1"/>
  <c r="BW101" i="10"/>
  <c r="BX101" i="10" s="1"/>
  <c r="BY101" i="10" s="1"/>
  <c r="BZ101" i="10" s="1"/>
  <c r="CA101" i="10" s="1"/>
  <c r="DI101" i="10" s="1"/>
  <c r="BW36" i="10"/>
  <c r="BX36" i="10" s="1"/>
  <c r="BY36" i="10" s="1"/>
  <c r="BZ36" i="10" s="1"/>
  <c r="CA36" i="10" s="1"/>
  <c r="DI36" i="10" s="1"/>
  <c r="BW38" i="10"/>
  <c r="BX38" i="10" s="1"/>
  <c r="BY38" i="10" s="1"/>
  <c r="BZ38" i="10" s="1"/>
  <c r="BW102" i="10"/>
  <c r="BX102" i="10" s="1"/>
  <c r="BY102" i="10" s="1"/>
  <c r="BZ102" i="10" s="1"/>
  <c r="CA102" i="10" s="1"/>
  <c r="DI102" i="10" s="1"/>
  <c r="BW76" i="10"/>
  <c r="BX76" i="10" s="1"/>
  <c r="BY76" i="10" s="1"/>
  <c r="BZ76" i="10" s="1"/>
  <c r="CA76" i="10" s="1"/>
  <c r="DI76" i="10" s="1"/>
  <c r="BW104" i="10"/>
  <c r="BX104" i="10" s="1"/>
  <c r="BY104" i="10" s="1"/>
  <c r="BZ104" i="10" s="1"/>
  <c r="CA104" i="10" s="1"/>
  <c r="DI104" i="10" s="1"/>
  <c r="BW40" i="10"/>
  <c r="BX40" i="10" s="1"/>
  <c r="BY40" i="10" s="1"/>
  <c r="BZ40" i="10" s="1"/>
  <c r="BW29" i="10"/>
  <c r="BX29" i="10" s="1"/>
  <c r="BY29" i="10" s="1"/>
  <c r="BZ29" i="10" s="1"/>
  <c r="BW26" i="10"/>
  <c r="BX26" i="10" s="1"/>
  <c r="BY26" i="10" s="1"/>
  <c r="BZ26" i="10" s="1"/>
  <c r="CA26" i="10" s="1"/>
  <c r="DI26" i="10" s="1"/>
  <c r="BW27" i="10"/>
  <c r="BX27" i="10" s="1"/>
  <c r="BY27" i="10" s="1"/>
  <c r="BZ27" i="10" s="1"/>
  <c r="CA27" i="10" s="1"/>
  <c r="DI27" i="10" s="1"/>
  <c r="BW86" i="10"/>
  <c r="BX86" i="10" s="1"/>
  <c r="BY86" i="10" s="1"/>
  <c r="BZ86" i="10" s="1"/>
  <c r="BW73" i="10"/>
  <c r="BX73" i="10" s="1"/>
  <c r="BY73" i="10" s="1"/>
  <c r="BZ73" i="10" s="1"/>
  <c r="CA73" i="10" s="1"/>
  <c r="DI73" i="10" s="1"/>
  <c r="BW97" i="10"/>
  <c r="BX97" i="10" s="1"/>
  <c r="BY97" i="10" s="1"/>
  <c r="BZ97" i="10" s="1"/>
  <c r="CA97" i="10" s="1"/>
  <c r="DI97" i="10" s="1"/>
  <c r="BW68" i="10"/>
  <c r="BX68" i="10" s="1"/>
  <c r="BY68" i="10" s="1"/>
  <c r="BZ68" i="10" s="1"/>
  <c r="CA68" i="10" s="1"/>
  <c r="DI68" i="10" s="1"/>
  <c r="BW13" i="10"/>
  <c r="BX13" i="10" s="1"/>
  <c r="BY13" i="10" s="1"/>
  <c r="BZ13" i="10" s="1"/>
  <c r="CA13" i="10" s="1"/>
  <c r="DI13" i="10" s="1"/>
  <c r="BW16" i="10"/>
  <c r="BX16" i="10" s="1"/>
  <c r="BY16" i="10" s="1"/>
  <c r="BZ16" i="10" s="1"/>
  <c r="CA16" i="10" s="1"/>
  <c r="DI16" i="10" s="1"/>
  <c r="BW17" i="10"/>
  <c r="BX17" i="10" s="1"/>
  <c r="BY17" i="10" s="1"/>
  <c r="BZ17" i="10" s="1"/>
  <c r="CA17" i="10" s="1"/>
  <c r="DI17" i="10" s="1"/>
  <c r="BW18" i="10"/>
  <c r="BX18" i="10" s="1"/>
  <c r="BY18" i="10" s="1"/>
  <c r="BZ18" i="10" s="1"/>
  <c r="CA18" i="10" s="1"/>
  <c r="DI18" i="10" s="1"/>
  <c r="BW49" i="10"/>
  <c r="BX49" i="10" s="1"/>
  <c r="BY49" i="10" s="1"/>
  <c r="BZ49" i="10" s="1"/>
  <c r="CA49" i="10" s="1"/>
  <c r="DI49" i="10" s="1"/>
  <c r="BW19" i="10"/>
  <c r="BX19" i="10" s="1"/>
  <c r="BY19" i="10" s="1"/>
  <c r="BZ19" i="10" s="1"/>
  <c r="BW22" i="10"/>
  <c r="BX22" i="10" s="1"/>
  <c r="BY22" i="10" s="1"/>
  <c r="BZ22" i="10" s="1"/>
  <c r="CA22" i="10" s="1"/>
  <c r="DI22" i="10" s="1"/>
  <c r="BW83" i="10"/>
  <c r="BX83" i="10" s="1"/>
  <c r="BY83" i="10" s="1"/>
  <c r="BZ83" i="10" s="1"/>
  <c r="CA83" i="10" s="1"/>
  <c r="DI83" i="10" s="1"/>
  <c r="BW50" i="10"/>
  <c r="BX50" i="10" s="1"/>
  <c r="BY50" i="10" s="1"/>
  <c r="BZ50" i="10" s="1"/>
  <c r="CA50" i="10" s="1"/>
  <c r="DI50" i="10" s="1"/>
  <c r="BW93" i="10"/>
  <c r="BX93" i="10" s="1"/>
  <c r="BY93" i="10" s="1"/>
  <c r="BZ93" i="10" s="1"/>
  <c r="CA93" i="10" s="1"/>
  <c r="DI93" i="10" s="1"/>
  <c r="BW70" i="10"/>
  <c r="BX70" i="10" s="1"/>
  <c r="BY70" i="10" s="1"/>
  <c r="BZ70" i="10" s="1"/>
  <c r="CA70" i="10" s="1"/>
  <c r="DI70" i="10" s="1"/>
  <c r="BW53" i="10"/>
  <c r="BX53" i="10" s="1"/>
  <c r="BY53" i="10" s="1"/>
  <c r="BZ53" i="10" s="1"/>
  <c r="CA53" i="10" s="1"/>
  <c r="DI53" i="10" s="1"/>
  <c r="BW94" i="10"/>
  <c r="BX94" i="10" s="1"/>
  <c r="BY94" i="10" s="1"/>
  <c r="BZ94" i="10" s="1"/>
  <c r="CA94" i="10" s="1"/>
  <c r="DI94" i="10" s="1"/>
  <c r="BW23" i="10"/>
  <c r="BX23" i="10" s="1"/>
  <c r="BY23" i="10" s="1"/>
  <c r="BZ23" i="10" s="1"/>
  <c r="CA23" i="10" s="1"/>
  <c r="DI23" i="10" s="1"/>
  <c r="BW95" i="10"/>
  <c r="BX95" i="10" s="1"/>
  <c r="BY95" i="10" s="1"/>
  <c r="BZ95" i="10" s="1"/>
  <c r="CA95" i="10" s="1"/>
  <c r="DI95" i="10" s="1"/>
  <c r="BW71" i="10"/>
  <c r="BX71" i="10" s="1"/>
  <c r="BY71" i="10" s="1"/>
  <c r="BZ71" i="10" s="1"/>
  <c r="CA71" i="10" s="1"/>
  <c r="DI71" i="10" s="1"/>
  <c r="BW54" i="10"/>
  <c r="BX54" i="10" s="1"/>
  <c r="BY54" i="10" s="1"/>
  <c r="BZ54" i="10" s="1"/>
  <c r="CA54" i="10" s="1"/>
  <c r="DI54" i="10" s="1"/>
  <c r="BW24" i="10"/>
  <c r="BX24" i="10" s="1"/>
  <c r="BY24" i="10" s="1"/>
  <c r="BZ24" i="10" s="1"/>
  <c r="CA24" i="10" s="1"/>
  <c r="DI24" i="10" s="1"/>
  <c r="BW72" i="10"/>
  <c r="BX72" i="10" s="1"/>
  <c r="BY72" i="10" s="1"/>
  <c r="BZ72" i="10" s="1"/>
  <c r="CA72" i="10" s="1"/>
  <c r="DI72" i="10" s="1"/>
  <c r="BW25" i="10"/>
  <c r="BX25" i="10" s="1"/>
  <c r="BY25" i="10" s="1"/>
  <c r="BZ25" i="10" s="1"/>
  <c r="CA25" i="10" s="1"/>
  <c r="DI25" i="10" s="1"/>
  <c r="BW85" i="10"/>
  <c r="BX85" i="10" s="1"/>
  <c r="BY85" i="10" s="1"/>
  <c r="BZ85" i="10" s="1"/>
  <c r="BW82" i="10"/>
  <c r="BX82" i="10" s="1"/>
  <c r="BY82" i="10" s="1"/>
  <c r="BZ82" i="10" s="1"/>
  <c r="CA82" i="10" s="1"/>
  <c r="DI82" i="10" s="1"/>
  <c r="BW12" i="10"/>
  <c r="BX12" i="10" s="1"/>
  <c r="BY12" i="10" s="1"/>
  <c r="BZ12" i="10" s="1"/>
  <c r="CA12" i="10" s="1"/>
  <c r="DI12" i="10" s="1"/>
  <c r="BW46" i="10"/>
  <c r="BX46" i="10" s="1"/>
  <c r="BY46" i="10" s="1"/>
  <c r="BZ46" i="10" s="1"/>
  <c r="CA46" i="10" s="1"/>
  <c r="DI46" i="10" s="1"/>
  <c r="BW66" i="10"/>
  <c r="BX66" i="10" s="1"/>
  <c r="BY66" i="10" s="1"/>
  <c r="BZ66" i="10" s="1"/>
  <c r="CA66" i="10" s="1"/>
  <c r="DI66" i="10" s="1"/>
  <c r="BW90" i="10"/>
  <c r="BX90" i="10" s="1"/>
  <c r="BY90" i="10" s="1"/>
  <c r="BZ90" i="10" s="1"/>
  <c r="CA90" i="10" s="1"/>
  <c r="DI90" i="10" s="1"/>
  <c r="BW91" i="10"/>
  <c r="BX91" i="10" s="1"/>
  <c r="BY91" i="10" s="1"/>
  <c r="BZ91" i="10" s="1"/>
  <c r="CA91" i="10" s="1"/>
  <c r="DI91" i="10" s="1"/>
  <c r="BW67" i="10"/>
  <c r="BX67" i="10" s="1"/>
  <c r="BY67" i="10" s="1"/>
  <c r="BZ67" i="10" s="1"/>
  <c r="CA67" i="10" s="1"/>
  <c r="DI67" i="10" s="1"/>
  <c r="BW89" i="10"/>
  <c r="BX89" i="10" s="1"/>
  <c r="BY89" i="10" s="1"/>
  <c r="BZ89" i="10" s="1"/>
  <c r="CA89" i="10" s="1"/>
  <c r="BX98" i="10"/>
  <c r="BY98" i="10" s="1"/>
  <c r="BZ98" i="10" s="1"/>
  <c r="CA98" i="10" s="1"/>
  <c r="DI98" i="10" s="1"/>
  <c r="BX92" i="10"/>
  <c r="BY92" i="10" s="1"/>
  <c r="BZ92" i="10" s="1"/>
  <c r="CA92" i="10" s="1"/>
  <c r="DI92" i="10" s="1"/>
  <c r="BY103" i="10"/>
  <c r="BZ103" i="10" s="1"/>
  <c r="CA103" i="10" s="1"/>
  <c r="DI103" i="10" s="1"/>
  <c r="BU9" i="10"/>
  <c r="BV9" i="10" s="1"/>
  <c r="BW9" i="10" s="1"/>
  <c r="BX9" i="10" s="1"/>
  <c r="BY9" i="10" s="1"/>
  <c r="BZ9" i="10" s="1"/>
  <c r="CA9" i="10" s="1"/>
  <c r="DI9" i="10" s="1"/>
  <c r="BW65" i="10"/>
  <c r="BX65" i="10" s="1"/>
  <c r="BY65" i="10" s="1"/>
  <c r="BZ65" i="10" s="1"/>
  <c r="CA65" i="10" s="1"/>
  <c r="BX10" i="10"/>
  <c r="BY10" i="10" s="1"/>
  <c r="BZ10" i="10" s="1"/>
  <c r="CA10" i="10" s="1"/>
  <c r="DI10" i="10" s="1"/>
  <c r="BX11" i="10"/>
  <c r="BY11" i="10" s="1"/>
  <c r="BZ11" i="10" s="1"/>
  <c r="CA11" i="10" s="1"/>
  <c r="DI11" i="10" s="1"/>
  <c r="BW64" i="10"/>
  <c r="BX64" i="10" s="1"/>
  <c r="BY64" i="10" s="1"/>
  <c r="BZ64" i="10" s="1"/>
  <c r="CA64" i="10" s="1"/>
  <c r="AK61" i="10"/>
  <c r="AJ61" i="10"/>
  <c r="AI61" i="10"/>
  <c r="AH61" i="10"/>
  <c r="AG61" i="10"/>
  <c r="L61" i="10"/>
  <c r="AD61" i="10" s="1"/>
  <c r="I61" i="10"/>
  <c r="H61" i="10"/>
  <c r="AK60" i="10"/>
  <c r="AJ60" i="10"/>
  <c r="AI60" i="10"/>
  <c r="AH60" i="10"/>
  <c r="AG60" i="10"/>
  <c r="L60" i="10"/>
  <c r="N60" i="10" s="1"/>
  <c r="I60" i="10"/>
  <c r="H60" i="10"/>
  <c r="AK59" i="10"/>
  <c r="AJ59" i="10"/>
  <c r="AI59" i="10"/>
  <c r="AH59" i="10"/>
  <c r="AG59" i="10"/>
  <c r="L59" i="10"/>
  <c r="AD59" i="10" s="1"/>
  <c r="I59" i="10"/>
  <c r="H59" i="10"/>
  <c r="AK58" i="10"/>
  <c r="AJ58" i="10"/>
  <c r="AI58" i="10"/>
  <c r="AH58" i="10"/>
  <c r="AG58" i="10"/>
  <c r="L58" i="10"/>
  <c r="Q58" i="10" s="1"/>
  <c r="I58" i="10"/>
  <c r="H58" i="10"/>
  <c r="BV42" i="10"/>
  <c r="BW42" i="10" s="1"/>
  <c r="BX42" i="10" s="1"/>
  <c r="BY42" i="10" s="1"/>
  <c r="BZ42" i="10" s="1"/>
  <c r="AK42" i="10"/>
  <c r="AJ42" i="10"/>
  <c r="AI42" i="10"/>
  <c r="AH42" i="10"/>
  <c r="AG42" i="10"/>
  <c r="L42" i="10"/>
  <c r="AA42" i="10" s="1"/>
  <c r="I42" i="10"/>
  <c r="H42" i="10"/>
  <c r="AK41" i="10"/>
  <c r="AJ41" i="10"/>
  <c r="AI41" i="10"/>
  <c r="AH41" i="10"/>
  <c r="AG41" i="10"/>
  <c r="L41" i="10"/>
  <c r="Z41" i="10" s="1"/>
  <c r="I41" i="10"/>
  <c r="H41" i="10"/>
  <c r="AK40" i="10"/>
  <c r="AJ40" i="10"/>
  <c r="AI40" i="10"/>
  <c r="AH40" i="10"/>
  <c r="AG40" i="10"/>
  <c r="L40" i="10"/>
  <c r="U40" i="10" s="1"/>
  <c r="I40" i="10"/>
  <c r="H40" i="10"/>
  <c r="BV39" i="10"/>
  <c r="BW39" i="10" s="1"/>
  <c r="BX39" i="10" s="1"/>
  <c r="BY39" i="10" s="1"/>
  <c r="BZ39" i="10" s="1"/>
  <c r="AK39" i="10"/>
  <c r="AJ39" i="10"/>
  <c r="AI39" i="10"/>
  <c r="AH39" i="10"/>
  <c r="AG39" i="10"/>
  <c r="L39" i="10"/>
  <c r="T39" i="10" s="1"/>
  <c r="I39" i="10"/>
  <c r="H39" i="10"/>
  <c r="AK104" i="10"/>
  <c r="AJ104" i="10"/>
  <c r="AI104" i="10"/>
  <c r="AH104" i="10"/>
  <c r="AG104" i="10"/>
  <c r="L104" i="10"/>
  <c r="AC104" i="10" s="1"/>
  <c r="I104" i="10"/>
  <c r="H104" i="10"/>
  <c r="AK76" i="10"/>
  <c r="AJ76" i="10"/>
  <c r="AI76" i="10"/>
  <c r="AH76" i="10"/>
  <c r="AG76" i="10"/>
  <c r="L76" i="10"/>
  <c r="AE76" i="10" s="1"/>
  <c r="I76" i="10"/>
  <c r="H76" i="10"/>
  <c r="AK103" i="10"/>
  <c r="AJ103" i="10"/>
  <c r="AI103" i="10"/>
  <c r="AH103" i="10"/>
  <c r="AG103" i="10"/>
  <c r="L103" i="10"/>
  <c r="Z103" i="10" s="1"/>
  <c r="I103" i="10"/>
  <c r="H103" i="10"/>
  <c r="AK102" i="10"/>
  <c r="AJ102" i="10"/>
  <c r="AI102" i="10"/>
  <c r="AH102" i="10"/>
  <c r="AG102" i="10"/>
  <c r="L102" i="10"/>
  <c r="K102" i="10" s="1"/>
  <c r="I102" i="10"/>
  <c r="H102" i="10"/>
  <c r="AK38" i="10"/>
  <c r="AJ38" i="10"/>
  <c r="AI38" i="10"/>
  <c r="AH38" i="10"/>
  <c r="AG38" i="10"/>
  <c r="L38" i="10"/>
  <c r="AA38" i="10" s="1"/>
  <c r="I38" i="10"/>
  <c r="H38" i="10"/>
  <c r="CU37" i="10"/>
  <c r="CV37" i="10" s="1"/>
  <c r="CW37" i="10" s="1"/>
  <c r="CX37" i="10" s="1"/>
  <c r="CY37" i="10" s="1"/>
  <c r="CZ37" i="10" s="1"/>
  <c r="BV37" i="10"/>
  <c r="BW37" i="10" s="1"/>
  <c r="BX37" i="10" s="1"/>
  <c r="BY37" i="10" s="1"/>
  <c r="BZ37" i="10" s="1"/>
  <c r="CA37" i="10" s="1"/>
  <c r="DI37" i="10" s="1"/>
  <c r="AK37" i="10"/>
  <c r="AJ37" i="10"/>
  <c r="AI37" i="10"/>
  <c r="AH37" i="10"/>
  <c r="AG37" i="10"/>
  <c r="L37" i="10"/>
  <c r="Z37" i="10" s="1"/>
  <c r="I37" i="10"/>
  <c r="H37" i="10"/>
  <c r="AK36" i="10"/>
  <c r="AJ36" i="10"/>
  <c r="AI36" i="10"/>
  <c r="AH36" i="10"/>
  <c r="AG36" i="10"/>
  <c r="L36" i="10"/>
  <c r="I36" i="10"/>
  <c r="H36" i="10"/>
  <c r="CS35" i="10"/>
  <c r="CT35" i="10" s="1"/>
  <c r="CU35" i="10" s="1"/>
  <c r="CV35" i="10" s="1"/>
  <c r="CW35" i="10" s="1"/>
  <c r="CX35" i="10" s="1"/>
  <c r="CY35" i="10" s="1"/>
  <c r="CZ35" i="10" s="1"/>
  <c r="BT35" i="10"/>
  <c r="BU35" i="10" s="1"/>
  <c r="BV35" i="10" s="1"/>
  <c r="BW35" i="10" s="1"/>
  <c r="BX35" i="10" s="1"/>
  <c r="BY35" i="10" s="1"/>
  <c r="BZ35" i="10" s="1"/>
  <c r="CA35" i="10" s="1"/>
  <c r="DI35" i="10" s="1"/>
  <c r="AK35" i="10"/>
  <c r="AJ35" i="10"/>
  <c r="AI35" i="10"/>
  <c r="AH35" i="10"/>
  <c r="AG35" i="10"/>
  <c r="L35" i="10"/>
  <c r="Y35" i="10" s="1"/>
  <c r="I35" i="10"/>
  <c r="H35" i="10"/>
  <c r="AK101" i="10"/>
  <c r="AJ101" i="10"/>
  <c r="AI101" i="10"/>
  <c r="AH101" i="10"/>
  <c r="AG101" i="10"/>
  <c r="L101" i="10"/>
  <c r="Y101" i="10" s="1"/>
  <c r="I101" i="10"/>
  <c r="H101" i="10"/>
  <c r="AK75" i="10"/>
  <c r="AJ75" i="10"/>
  <c r="AI75" i="10"/>
  <c r="AH75" i="10"/>
  <c r="AG75" i="10"/>
  <c r="L75" i="10"/>
  <c r="P75" i="10" s="1"/>
  <c r="BD75" i="10" s="1"/>
  <c r="I75" i="10"/>
  <c r="H75" i="10"/>
  <c r="AK100" i="10"/>
  <c r="AJ100" i="10"/>
  <c r="AI100" i="10"/>
  <c r="AH100" i="10"/>
  <c r="AG100" i="10"/>
  <c r="L100" i="10"/>
  <c r="V100" i="10" s="1"/>
  <c r="I100" i="10"/>
  <c r="H100" i="10"/>
  <c r="AK99" i="10"/>
  <c r="AJ99" i="10"/>
  <c r="AI99" i="10"/>
  <c r="AH99" i="10"/>
  <c r="AG99" i="10"/>
  <c r="L99" i="10"/>
  <c r="AF99" i="10" s="1"/>
  <c r="I99" i="10"/>
  <c r="H99" i="10"/>
  <c r="AK74" i="10"/>
  <c r="AJ74" i="10"/>
  <c r="AI74" i="10"/>
  <c r="AH74" i="10"/>
  <c r="AG74" i="10"/>
  <c r="L74" i="10"/>
  <c r="AF74" i="10" s="1"/>
  <c r="I74" i="10"/>
  <c r="H74" i="10"/>
  <c r="AK34" i="10"/>
  <c r="AJ34" i="10"/>
  <c r="AI34" i="10"/>
  <c r="AH34" i="10"/>
  <c r="AG34" i="10"/>
  <c r="L34" i="10"/>
  <c r="AF34" i="10" s="1"/>
  <c r="I34" i="10"/>
  <c r="H34" i="10"/>
  <c r="CU33" i="10"/>
  <c r="CV33" i="10" s="1"/>
  <c r="CW33" i="10" s="1"/>
  <c r="CX33" i="10" s="1"/>
  <c r="CY33" i="10" s="1"/>
  <c r="CZ33" i="10" s="1"/>
  <c r="BV33" i="10"/>
  <c r="BW33" i="10" s="1"/>
  <c r="BX33" i="10" s="1"/>
  <c r="BY33" i="10" s="1"/>
  <c r="BZ33" i="10" s="1"/>
  <c r="CA33" i="10" s="1"/>
  <c r="DI33" i="10" s="1"/>
  <c r="AK33" i="10"/>
  <c r="AJ33" i="10"/>
  <c r="AI33" i="10"/>
  <c r="AH33" i="10"/>
  <c r="AG33" i="10"/>
  <c r="L33" i="10"/>
  <c r="I33" i="10"/>
  <c r="H33" i="10"/>
  <c r="BV32" i="10"/>
  <c r="BW32" i="10" s="1"/>
  <c r="BX32" i="10" s="1"/>
  <c r="BY32" i="10" s="1"/>
  <c r="BZ32" i="10" s="1"/>
  <c r="CA32" i="10" s="1"/>
  <c r="DI32" i="10" s="1"/>
  <c r="AK32" i="10"/>
  <c r="AJ32" i="10"/>
  <c r="AI32" i="10"/>
  <c r="AH32" i="10"/>
  <c r="AG32" i="10"/>
  <c r="L32" i="10"/>
  <c r="I32" i="10"/>
  <c r="H32" i="10"/>
  <c r="BR31" i="10"/>
  <c r="BS31" i="10" s="1"/>
  <c r="BT31" i="10" s="1"/>
  <c r="BU31" i="10" s="1"/>
  <c r="BV31" i="10" s="1"/>
  <c r="BW31" i="10" s="1"/>
  <c r="BX31" i="10" s="1"/>
  <c r="BY31" i="10" s="1"/>
  <c r="BZ31" i="10" s="1"/>
  <c r="CA31" i="10" s="1"/>
  <c r="DI31" i="10" s="1"/>
  <c r="AK31" i="10"/>
  <c r="AJ31" i="10"/>
  <c r="AI31" i="10"/>
  <c r="AH31" i="10"/>
  <c r="AG31" i="10"/>
  <c r="L31" i="10"/>
  <c r="I31" i="10"/>
  <c r="H31" i="10"/>
  <c r="AK57" i="10"/>
  <c r="AJ57" i="10"/>
  <c r="AI57" i="10"/>
  <c r="AH57" i="10"/>
  <c r="AG57" i="10"/>
  <c r="L57" i="10"/>
  <c r="AF57" i="10" s="1"/>
  <c r="I57" i="10"/>
  <c r="H57" i="10"/>
  <c r="AK56" i="10"/>
  <c r="AJ56" i="10"/>
  <c r="AI56" i="10"/>
  <c r="AH56" i="10"/>
  <c r="AG56" i="10"/>
  <c r="L56" i="10"/>
  <c r="AF56" i="10" s="1"/>
  <c r="I56" i="10"/>
  <c r="H56" i="10"/>
  <c r="CU30" i="10"/>
  <c r="CV30" i="10" s="1"/>
  <c r="CW30" i="10" s="1"/>
  <c r="CX30" i="10" s="1"/>
  <c r="CY30" i="10" s="1"/>
  <c r="CZ30" i="10" s="1"/>
  <c r="BV30" i="10"/>
  <c r="BW30" i="10" s="1"/>
  <c r="BX30" i="10" s="1"/>
  <c r="BY30" i="10" s="1"/>
  <c r="BZ30" i="10" s="1"/>
  <c r="CA30" i="10" s="1"/>
  <c r="DI30" i="10" s="1"/>
  <c r="AK30" i="10"/>
  <c r="AJ30" i="10"/>
  <c r="AI30" i="10"/>
  <c r="AH30" i="10"/>
  <c r="AG30" i="10"/>
  <c r="L30" i="10"/>
  <c r="AF30" i="10" s="1"/>
  <c r="I30" i="10"/>
  <c r="H30" i="10"/>
  <c r="AK29" i="10"/>
  <c r="AJ29" i="10"/>
  <c r="AI29" i="10"/>
  <c r="AH29" i="10"/>
  <c r="AG29" i="10"/>
  <c r="L29" i="10"/>
  <c r="P29" i="10" s="1"/>
  <c r="I29" i="10"/>
  <c r="H29" i="10"/>
  <c r="AK98" i="10"/>
  <c r="AJ98" i="10"/>
  <c r="AI98" i="10"/>
  <c r="AH98" i="10"/>
  <c r="AG98" i="10"/>
  <c r="L98" i="10"/>
  <c r="AF98" i="10" s="1"/>
  <c r="I98" i="10"/>
  <c r="H98" i="10"/>
  <c r="AK97" i="10"/>
  <c r="AJ97" i="10"/>
  <c r="AI97" i="10"/>
  <c r="AH97" i="10"/>
  <c r="AG97" i="10"/>
  <c r="L97" i="10"/>
  <c r="AD97" i="10" s="1"/>
  <c r="I97" i="10"/>
  <c r="H97" i="10"/>
  <c r="AK73" i="10"/>
  <c r="AJ73" i="10"/>
  <c r="AI73" i="10"/>
  <c r="AH73" i="10"/>
  <c r="AG73" i="10"/>
  <c r="L73" i="10"/>
  <c r="I73" i="10"/>
  <c r="H73" i="10"/>
  <c r="AK28" i="10"/>
  <c r="AJ28" i="10"/>
  <c r="AI28" i="10"/>
  <c r="AH28" i="10"/>
  <c r="AG28" i="10"/>
  <c r="L28" i="10"/>
  <c r="AE28" i="10" s="1"/>
  <c r="I28" i="10"/>
  <c r="H28" i="10"/>
  <c r="AK86" i="10"/>
  <c r="AJ86" i="10"/>
  <c r="AI86" i="10"/>
  <c r="AH86" i="10"/>
  <c r="AG86" i="10"/>
  <c r="L86" i="10"/>
  <c r="AB86" i="10" s="1"/>
  <c r="I86" i="10"/>
  <c r="H86" i="10"/>
  <c r="AK27" i="10"/>
  <c r="AJ27" i="10"/>
  <c r="AI27" i="10"/>
  <c r="AH27" i="10"/>
  <c r="AG27" i="10"/>
  <c r="L27" i="10"/>
  <c r="AF27" i="10" s="1"/>
  <c r="I27" i="10"/>
  <c r="H27" i="10"/>
  <c r="AK26" i="10"/>
  <c r="AJ26" i="10"/>
  <c r="AI26" i="10"/>
  <c r="AH26" i="10"/>
  <c r="AG26" i="10"/>
  <c r="L26" i="10"/>
  <c r="AF26" i="10" s="1"/>
  <c r="I26" i="10"/>
  <c r="H26" i="10"/>
  <c r="AK96" i="10"/>
  <c r="AJ96" i="10"/>
  <c r="AI96" i="10"/>
  <c r="AH96" i="10"/>
  <c r="AG96" i="10"/>
  <c r="L96" i="10"/>
  <c r="AB96" i="10" s="1"/>
  <c r="I96" i="10"/>
  <c r="H96" i="10"/>
  <c r="AK85" i="10"/>
  <c r="AJ85" i="10"/>
  <c r="AI85" i="10"/>
  <c r="AH85" i="10"/>
  <c r="AG85" i="10"/>
  <c r="L85" i="10"/>
  <c r="Y85" i="10" s="1"/>
  <c r="I85" i="10"/>
  <c r="H85" i="10"/>
  <c r="AK55" i="10"/>
  <c r="AJ55" i="10"/>
  <c r="AI55" i="10"/>
  <c r="AH55" i="10"/>
  <c r="AG55" i="10"/>
  <c r="L55" i="10"/>
  <c r="AB55" i="10" s="1"/>
  <c r="I55" i="10"/>
  <c r="H55" i="10"/>
  <c r="AK25" i="10"/>
  <c r="AJ25" i="10"/>
  <c r="AI25" i="10"/>
  <c r="AH25" i="10"/>
  <c r="AG25" i="10"/>
  <c r="L25" i="10"/>
  <c r="AF25" i="10" s="1"/>
  <c r="I25" i="10"/>
  <c r="H25" i="10"/>
  <c r="BV84" i="10"/>
  <c r="BW84" i="10" s="1"/>
  <c r="BX84" i="10" s="1"/>
  <c r="BY84" i="10" s="1"/>
  <c r="BZ84" i="10" s="1"/>
  <c r="CA84" i="10" s="1"/>
  <c r="DI84" i="10" s="1"/>
  <c r="AK84" i="10"/>
  <c r="AJ84" i="10"/>
  <c r="AI84" i="10"/>
  <c r="AH84" i="10"/>
  <c r="AG84" i="10"/>
  <c r="L84" i="10"/>
  <c r="AF84" i="10" s="1"/>
  <c r="I84" i="10"/>
  <c r="H84" i="10"/>
  <c r="AK72" i="10"/>
  <c r="AJ72" i="10"/>
  <c r="AI72" i="10"/>
  <c r="AH72" i="10"/>
  <c r="AG72" i="10"/>
  <c r="L72" i="10"/>
  <c r="T72" i="10" s="1"/>
  <c r="I72" i="10"/>
  <c r="H72" i="10"/>
  <c r="AK24" i="10"/>
  <c r="AJ24" i="10"/>
  <c r="AI24" i="10"/>
  <c r="AH24" i="10"/>
  <c r="AG24" i="10"/>
  <c r="L24" i="10"/>
  <c r="K24" i="10" s="1"/>
  <c r="I24" i="10"/>
  <c r="H24" i="10"/>
  <c r="AK54" i="10"/>
  <c r="AJ54" i="10"/>
  <c r="AI54" i="10"/>
  <c r="AH54" i="10"/>
  <c r="AG54" i="10"/>
  <c r="L54" i="10"/>
  <c r="AF54" i="10" s="1"/>
  <c r="I54" i="10"/>
  <c r="H54" i="10"/>
  <c r="AK71" i="10"/>
  <c r="AJ71" i="10"/>
  <c r="AI71" i="10"/>
  <c r="AH71" i="10"/>
  <c r="AG71" i="10"/>
  <c r="L71" i="10"/>
  <c r="AA71" i="10" s="1"/>
  <c r="I71" i="10"/>
  <c r="H71" i="10"/>
  <c r="AK95" i="10"/>
  <c r="AJ95" i="10"/>
  <c r="AI95" i="10"/>
  <c r="AH95" i="10"/>
  <c r="AG95" i="10"/>
  <c r="L95" i="10"/>
  <c r="U95" i="10" s="1"/>
  <c r="I95" i="10"/>
  <c r="H95" i="10"/>
  <c r="AK23" i="10"/>
  <c r="AJ23" i="10"/>
  <c r="AI23" i="10"/>
  <c r="AH23" i="10"/>
  <c r="AG23" i="10"/>
  <c r="L23" i="10"/>
  <c r="V23" i="10" s="1"/>
  <c r="I23" i="10"/>
  <c r="H23" i="10"/>
  <c r="AK94" i="10"/>
  <c r="AJ94" i="10"/>
  <c r="AI94" i="10"/>
  <c r="AH94" i="10"/>
  <c r="AG94" i="10"/>
  <c r="L94" i="10"/>
  <c r="AC94" i="10" s="1"/>
  <c r="I94" i="10"/>
  <c r="H94" i="10"/>
  <c r="AK53" i="10"/>
  <c r="AJ53" i="10"/>
  <c r="AI53" i="10"/>
  <c r="AH53" i="10"/>
  <c r="AG53" i="10"/>
  <c r="L53" i="10"/>
  <c r="W53" i="10" s="1"/>
  <c r="I53" i="10"/>
  <c r="H53" i="10"/>
  <c r="AK70" i="10"/>
  <c r="AJ70" i="10"/>
  <c r="AI70" i="10"/>
  <c r="AH70" i="10"/>
  <c r="AG70" i="10"/>
  <c r="L70" i="10"/>
  <c r="Y70" i="10" s="1"/>
  <c r="I70" i="10"/>
  <c r="H70" i="10"/>
  <c r="AK93" i="10"/>
  <c r="AJ93" i="10"/>
  <c r="AI93" i="10"/>
  <c r="AH93" i="10"/>
  <c r="AG93" i="10"/>
  <c r="L93" i="10"/>
  <c r="AF93" i="10" s="1"/>
  <c r="I93" i="10"/>
  <c r="H93" i="10"/>
  <c r="CU52" i="10"/>
  <c r="CV52" i="10" s="1"/>
  <c r="CW52" i="10" s="1"/>
  <c r="CX52" i="10" s="1"/>
  <c r="CY52" i="10" s="1"/>
  <c r="CZ52" i="10" s="1"/>
  <c r="BV52" i="10"/>
  <c r="BW52" i="10" s="1"/>
  <c r="BX52" i="10" s="1"/>
  <c r="BY52" i="10" s="1"/>
  <c r="BZ52" i="10" s="1"/>
  <c r="CA52" i="10" s="1"/>
  <c r="DI52" i="10" s="1"/>
  <c r="AK52" i="10"/>
  <c r="AJ52" i="10"/>
  <c r="AI52" i="10"/>
  <c r="AH52" i="10"/>
  <c r="AG52" i="10"/>
  <c r="L52" i="10"/>
  <c r="AE52" i="10" s="1"/>
  <c r="I52" i="10"/>
  <c r="H52" i="10"/>
  <c r="CU51" i="10"/>
  <c r="CV51" i="10" s="1"/>
  <c r="CW51" i="10" s="1"/>
  <c r="CX51" i="10" s="1"/>
  <c r="CY51" i="10" s="1"/>
  <c r="CZ51" i="10" s="1"/>
  <c r="BV51" i="10"/>
  <c r="BW51" i="10" s="1"/>
  <c r="BX51" i="10" s="1"/>
  <c r="BY51" i="10" s="1"/>
  <c r="BZ51" i="10" s="1"/>
  <c r="AK51" i="10"/>
  <c r="AJ51" i="10"/>
  <c r="AI51" i="10"/>
  <c r="AH51" i="10"/>
  <c r="AG51" i="10"/>
  <c r="L51" i="10"/>
  <c r="AF51" i="10" s="1"/>
  <c r="I51" i="10"/>
  <c r="H51" i="10"/>
  <c r="AK50" i="10"/>
  <c r="AJ50" i="10"/>
  <c r="AI50" i="10"/>
  <c r="AH50" i="10"/>
  <c r="AG50" i="10"/>
  <c r="L50" i="10"/>
  <c r="U50" i="10" s="1"/>
  <c r="I50" i="10"/>
  <c r="H50" i="10"/>
  <c r="AK83" i="10"/>
  <c r="AJ83" i="10"/>
  <c r="AI83" i="10"/>
  <c r="AH83" i="10"/>
  <c r="AG83" i="10"/>
  <c r="L83" i="10"/>
  <c r="AF83" i="10" s="1"/>
  <c r="I83" i="10"/>
  <c r="H83" i="10"/>
  <c r="AK22" i="10"/>
  <c r="AJ22" i="10"/>
  <c r="AI22" i="10"/>
  <c r="AH22" i="10"/>
  <c r="AG22" i="10"/>
  <c r="L22" i="10"/>
  <c r="W22" i="10" s="1"/>
  <c r="I22" i="10"/>
  <c r="H22" i="10"/>
  <c r="BV69" i="10"/>
  <c r="BW69" i="10" s="1"/>
  <c r="BX69" i="10" s="1"/>
  <c r="BY69" i="10" s="1"/>
  <c r="BZ69" i="10" s="1"/>
  <c r="CA69" i="10" s="1"/>
  <c r="DI69" i="10" s="1"/>
  <c r="AK69" i="10"/>
  <c r="AJ69" i="10"/>
  <c r="AI69" i="10"/>
  <c r="AH69" i="10"/>
  <c r="AG69" i="10"/>
  <c r="L69" i="10"/>
  <c r="W69" i="10" s="1"/>
  <c r="I69" i="10"/>
  <c r="H69" i="10"/>
  <c r="BV21" i="10"/>
  <c r="BW21" i="10" s="1"/>
  <c r="BX21" i="10" s="1"/>
  <c r="BY21" i="10" s="1"/>
  <c r="BZ21" i="10" s="1"/>
  <c r="AK21" i="10"/>
  <c r="AJ21" i="10"/>
  <c r="AI21" i="10"/>
  <c r="AH21" i="10"/>
  <c r="AG21" i="10"/>
  <c r="L21" i="10"/>
  <c r="AF21" i="10" s="1"/>
  <c r="I21" i="10"/>
  <c r="H21" i="10"/>
  <c r="BV20" i="10"/>
  <c r="BW20" i="10" s="1"/>
  <c r="BX20" i="10" s="1"/>
  <c r="BY20" i="10" s="1"/>
  <c r="BZ20" i="10" s="1"/>
  <c r="AK20" i="10"/>
  <c r="AJ20" i="10"/>
  <c r="AI20" i="10"/>
  <c r="AH20" i="10"/>
  <c r="AG20" i="10"/>
  <c r="L20" i="10"/>
  <c r="AB20" i="10" s="1"/>
  <c r="I20" i="10"/>
  <c r="H20" i="10"/>
  <c r="AK19" i="10"/>
  <c r="AJ19" i="10"/>
  <c r="AI19" i="10"/>
  <c r="AH19" i="10"/>
  <c r="AG19" i="10"/>
  <c r="L19" i="10"/>
  <c r="AD19" i="10" s="1"/>
  <c r="I19" i="10"/>
  <c r="H19" i="10"/>
  <c r="CU49" i="10"/>
  <c r="CV49" i="10" s="1"/>
  <c r="CW49" i="10" s="1"/>
  <c r="CX49" i="10" s="1"/>
  <c r="CY49" i="10" s="1"/>
  <c r="CZ49" i="10" s="1"/>
  <c r="AK49" i="10"/>
  <c r="AJ49" i="10"/>
  <c r="AI49" i="10"/>
  <c r="AH49" i="10"/>
  <c r="AG49" i="10"/>
  <c r="L49" i="10"/>
  <c r="AF49" i="10" s="1"/>
  <c r="I49" i="10"/>
  <c r="H49" i="10"/>
  <c r="AK18" i="10"/>
  <c r="AJ18" i="10"/>
  <c r="AI18" i="10"/>
  <c r="AH18" i="10"/>
  <c r="AG18" i="10"/>
  <c r="L18" i="10"/>
  <c r="I18" i="10"/>
  <c r="H18" i="10"/>
  <c r="CR48" i="10"/>
  <c r="CS48" i="10" s="1"/>
  <c r="CT48" i="10" s="1"/>
  <c r="CU48" i="10" s="1"/>
  <c r="CV48" i="10" s="1"/>
  <c r="CW48" i="10" s="1"/>
  <c r="CX48" i="10" s="1"/>
  <c r="CY48" i="10" s="1"/>
  <c r="CZ48" i="10" s="1"/>
  <c r="BS48" i="10"/>
  <c r="BT48" i="10" s="1"/>
  <c r="BU48" i="10" s="1"/>
  <c r="BV48" i="10" s="1"/>
  <c r="BW48" i="10" s="1"/>
  <c r="BX48" i="10" s="1"/>
  <c r="BY48" i="10" s="1"/>
  <c r="BZ48" i="10" s="1"/>
  <c r="CA48" i="10" s="1"/>
  <c r="DI48" i="10" s="1"/>
  <c r="AK48" i="10"/>
  <c r="AJ48" i="10"/>
  <c r="AI48" i="10"/>
  <c r="AH48" i="10"/>
  <c r="AG48" i="10"/>
  <c r="L48" i="10"/>
  <c r="AB48" i="10" s="1"/>
  <c r="I48" i="10"/>
  <c r="H48" i="10"/>
  <c r="AK17" i="10"/>
  <c r="AJ17" i="10"/>
  <c r="AI17" i="10"/>
  <c r="AH17" i="10"/>
  <c r="AG17" i="10"/>
  <c r="L17" i="10"/>
  <c r="AF17" i="10" s="1"/>
  <c r="I17" i="10"/>
  <c r="H17" i="10"/>
  <c r="AK16" i="10"/>
  <c r="AJ16" i="10"/>
  <c r="AI16" i="10"/>
  <c r="AH16" i="10"/>
  <c r="AG16" i="10"/>
  <c r="L16" i="10"/>
  <c r="AE16" i="10" s="1"/>
  <c r="I16" i="10"/>
  <c r="H16" i="10"/>
  <c r="BV15" i="10"/>
  <c r="BW15" i="10" s="1"/>
  <c r="BX15" i="10" s="1"/>
  <c r="BY15" i="10" s="1"/>
  <c r="BZ15" i="10" s="1"/>
  <c r="CA15" i="10" s="1"/>
  <c r="DI15" i="10" s="1"/>
  <c r="AK15" i="10"/>
  <c r="AJ15" i="10"/>
  <c r="AI15" i="10"/>
  <c r="AH15" i="10"/>
  <c r="AG15" i="10"/>
  <c r="L15" i="10"/>
  <c r="AF15" i="10" s="1"/>
  <c r="I15" i="10"/>
  <c r="H15" i="10"/>
  <c r="AK14" i="10"/>
  <c r="AJ14" i="10"/>
  <c r="AI14" i="10"/>
  <c r="AH14" i="10"/>
  <c r="AG14" i="10"/>
  <c r="L14" i="10"/>
  <c r="I14" i="10"/>
  <c r="H14" i="10"/>
  <c r="AK13" i="10"/>
  <c r="AJ13" i="10"/>
  <c r="AI13" i="10"/>
  <c r="AH13" i="10"/>
  <c r="AG13" i="10"/>
  <c r="L13" i="10"/>
  <c r="AB13" i="10" s="1"/>
  <c r="I13" i="10"/>
  <c r="H13" i="10"/>
  <c r="AK68" i="10"/>
  <c r="AJ68" i="10"/>
  <c r="AI68" i="10"/>
  <c r="AH68" i="10"/>
  <c r="AG68" i="10"/>
  <c r="L68" i="10"/>
  <c r="AA68" i="10" s="1"/>
  <c r="I68" i="10"/>
  <c r="H68" i="10"/>
  <c r="AK82" i="10"/>
  <c r="AJ82" i="10"/>
  <c r="AI82" i="10"/>
  <c r="AH82" i="10"/>
  <c r="AG82" i="10"/>
  <c r="L82" i="10"/>
  <c r="R82" i="10" s="1"/>
  <c r="I82" i="10"/>
  <c r="H82" i="10"/>
  <c r="AK92" i="10"/>
  <c r="AJ92" i="10"/>
  <c r="AI92" i="10"/>
  <c r="AH92" i="10"/>
  <c r="AG92" i="10"/>
  <c r="L92" i="10"/>
  <c r="AD92" i="10" s="1"/>
  <c r="I92" i="10"/>
  <c r="H92" i="10"/>
  <c r="AK67" i="10"/>
  <c r="AJ67" i="10"/>
  <c r="AI67" i="10"/>
  <c r="AH67" i="10"/>
  <c r="AG67" i="10"/>
  <c r="L67" i="10"/>
  <c r="AF67" i="10" s="1"/>
  <c r="I67" i="10"/>
  <c r="H67" i="10"/>
  <c r="CT47" i="10"/>
  <c r="CU47" i="10" s="1"/>
  <c r="CV47" i="10" s="1"/>
  <c r="CW47" i="10" s="1"/>
  <c r="CX47" i="10" s="1"/>
  <c r="CY47" i="10" s="1"/>
  <c r="CZ47" i="10" s="1"/>
  <c r="BU47" i="10"/>
  <c r="BV47" i="10" s="1"/>
  <c r="BW47" i="10" s="1"/>
  <c r="BX47" i="10" s="1"/>
  <c r="BY47" i="10" s="1"/>
  <c r="BZ47" i="10" s="1"/>
  <c r="CA47" i="10" s="1"/>
  <c r="DI47" i="10" s="1"/>
  <c r="AK47" i="10"/>
  <c r="AJ47" i="10"/>
  <c r="AI47" i="10"/>
  <c r="AH47" i="10"/>
  <c r="AG47" i="10"/>
  <c r="L47" i="10"/>
  <c r="I47" i="10"/>
  <c r="H47" i="10"/>
  <c r="AK91" i="10"/>
  <c r="AJ91" i="10"/>
  <c r="AI91" i="10"/>
  <c r="AH91" i="10"/>
  <c r="AG91" i="10"/>
  <c r="L91" i="10"/>
  <c r="AD91" i="10" s="1"/>
  <c r="I91" i="10"/>
  <c r="H91" i="10"/>
  <c r="AK90" i="10"/>
  <c r="AJ90" i="10"/>
  <c r="AI90" i="10"/>
  <c r="AH90" i="10"/>
  <c r="AG90" i="10"/>
  <c r="L90" i="10"/>
  <c r="AF90" i="10" s="1"/>
  <c r="I90" i="10"/>
  <c r="H90" i="10"/>
  <c r="AK66" i="10"/>
  <c r="AJ66" i="10"/>
  <c r="AI66" i="10"/>
  <c r="AH66" i="10"/>
  <c r="AG66" i="10"/>
  <c r="L66" i="10"/>
  <c r="AD66" i="10" s="1"/>
  <c r="I66" i="10"/>
  <c r="H66" i="10"/>
  <c r="AK46" i="10"/>
  <c r="AJ46" i="10"/>
  <c r="AI46" i="10"/>
  <c r="AH46" i="10"/>
  <c r="AG46" i="10"/>
  <c r="L46" i="10"/>
  <c r="R46" i="10" s="1"/>
  <c r="I46" i="10"/>
  <c r="H46" i="10"/>
  <c r="AK12" i="10"/>
  <c r="AJ12" i="10"/>
  <c r="AI12" i="10"/>
  <c r="AH12" i="10"/>
  <c r="AG12" i="10"/>
  <c r="L12" i="10"/>
  <c r="AD12" i="10" s="1"/>
  <c r="I12" i="10"/>
  <c r="H12" i="10"/>
  <c r="AK89" i="10"/>
  <c r="AJ89" i="10"/>
  <c r="AI89" i="10"/>
  <c r="AH89" i="10"/>
  <c r="AG89" i="10"/>
  <c r="L89" i="10"/>
  <c r="AF89" i="10" s="1"/>
  <c r="I89" i="10"/>
  <c r="H89" i="10"/>
  <c r="AK11" i="10"/>
  <c r="AJ11" i="10"/>
  <c r="AI11" i="10"/>
  <c r="AH11" i="10"/>
  <c r="AG11" i="10"/>
  <c r="L11" i="10"/>
  <c r="AD11" i="10" s="1"/>
  <c r="I11" i="10"/>
  <c r="H11" i="10"/>
  <c r="AK10" i="10"/>
  <c r="AJ10" i="10"/>
  <c r="AI10" i="10"/>
  <c r="AH10" i="10"/>
  <c r="AG10" i="10"/>
  <c r="L10" i="10"/>
  <c r="Z10" i="10" s="1"/>
  <c r="I10" i="10"/>
  <c r="H10" i="10"/>
  <c r="CU45" i="10"/>
  <c r="CV45" i="10" s="1"/>
  <c r="CW45" i="10" s="1"/>
  <c r="CX45" i="10" s="1"/>
  <c r="CY45" i="10" s="1"/>
  <c r="CZ45" i="10" s="1"/>
  <c r="BV45" i="10"/>
  <c r="BW45" i="10" s="1"/>
  <c r="BX45" i="10" s="1"/>
  <c r="BY45" i="10" s="1"/>
  <c r="BZ45" i="10" s="1"/>
  <c r="CA45" i="10" s="1"/>
  <c r="AK45" i="10"/>
  <c r="AJ45" i="10"/>
  <c r="AI45" i="10"/>
  <c r="AH45" i="10"/>
  <c r="AG45" i="10"/>
  <c r="L45" i="10"/>
  <c r="AF45" i="10" s="1"/>
  <c r="I45" i="10"/>
  <c r="H45" i="10"/>
  <c r="AK9" i="10"/>
  <c r="AJ9" i="10"/>
  <c r="AI9" i="10"/>
  <c r="AH9" i="10"/>
  <c r="AG9" i="10"/>
  <c r="L9" i="10"/>
  <c r="AD9" i="10" s="1"/>
  <c r="I9" i="10"/>
  <c r="H9" i="10"/>
  <c r="CU81" i="10"/>
  <c r="CV81" i="10" s="1"/>
  <c r="CW81" i="10" s="1"/>
  <c r="CX81" i="10" s="1"/>
  <c r="CY81" i="10" s="1"/>
  <c r="CZ81" i="10" s="1"/>
  <c r="BV81" i="10"/>
  <c r="BW81" i="10" s="1"/>
  <c r="BX81" i="10" s="1"/>
  <c r="BY81" i="10" s="1"/>
  <c r="BZ81" i="10" s="1"/>
  <c r="CA81" i="10" s="1"/>
  <c r="DI81" i="10" s="1"/>
  <c r="AK81" i="10"/>
  <c r="AJ81" i="10"/>
  <c r="AI81" i="10"/>
  <c r="AH81" i="10"/>
  <c r="AG81" i="10"/>
  <c r="L81" i="10"/>
  <c r="AD81" i="10" s="1"/>
  <c r="I81" i="10"/>
  <c r="H81" i="10"/>
  <c r="AK64" i="10"/>
  <c r="AJ64" i="10"/>
  <c r="AI64" i="10"/>
  <c r="AH64" i="10"/>
  <c r="AG64" i="10"/>
  <c r="L64" i="10"/>
  <c r="AF64" i="10" s="1"/>
  <c r="I64" i="10"/>
  <c r="H64" i="10"/>
  <c r="J80" i="10"/>
  <c r="AH80" i="10" s="1"/>
  <c r="H80" i="10"/>
  <c r="AK8" i="10"/>
  <c r="AJ8" i="10"/>
  <c r="AI8" i="10"/>
  <c r="AH8" i="10"/>
  <c r="AG8" i="10"/>
  <c r="L8" i="10"/>
  <c r="AF8" i="10" s="1"/>
  <c r="I8" i="10"/>
  <c r="H8" i="10"/>
  <c r="J79" i="10"/>
  <c r="G79" i="10"/>
  <c r="CZ62" i="10" l="1"/>
  <c r="CA87" i="10"/>
  <c r="CZ87" i="10"/>
  <c r="DI45" i="10"/>
  <c r="DI64" i="10"/>
  <c r="CA77" i="10"/>
  <c r="DI89" i="10"/>
  <c r="CA105" i="10"/>
  <c r="CZ77" i="10"/>
  <c r="CZ105" i="10"/>
  <c r="CZ43" i="10"/>
  <c r="CA43" i="10"/>
  <c r="N67" i="10"/>
  <c r="BB67" i="10" s="1"/>
  <c r="BD29" i="10"/>
  <c r="Z82" i="10"/>
  <c r="Q53" i="10"/>
  <c r="BE53" i="10" s="1"/>
  <c r="N59" i="10"/>
  <c r="BB59" i="10" s="1"/>
  <c r="N17" i="10"/>
  <c r="BB17" i="10" s="1"/>
  <c r="Y84" i="10"/>
  <c r="AA50" i="10"/>
  <c r="K53" i="10"/>
  <c r="V53" i="10"/>
  <c r="AU53" i="10" s="1"/>
  <c r="AZ53" i="10" s="1"/>
  <c r="W66" i="10"/>
  <c r="Q67" i="10"/>
  <c r="BE67" i="10" s="1"/>
  <c r="O53" i="10"/>
  <c r="O38" i="10"/>
  <c r="BC38" i="10" s="1"/>
  <c r="V67" i="10"/>
  <c r="AU67" i="10" s="1"/>
  <c r="AZ67" i="10" s="1"/>
  <c r="BJ67" i="10" s="1"/>
  <c r="AQ82" i="10"/>
  <c r="AV82" i="10" s="1"/>
  <c r="R71" i="10"/>
  <c r="AQ71" i="10" s="1"/>
  <c r="AV71" i="10" s="1"/>
  <c r="N27" i="10"/>
  <c r="BB27" i="10" s="1"/>
  <c r="R30" i="10"/>
  <c r="AQ30" i="10" s="1"/>
  <c r="O101" i="10"/>
  <c r="BC101" i="10" s="1"/>
  <c r="V38" i="10"/>
  <c r="AU38" i="10" s="1"/>
  <c r="BO38" i="10" s="1"/>
  <c r="X59" i="10"/>
  <c r="K66" i="10"/>
  <c r="K50" i="10"/>
  <c r="BC53" i="10"/>
  <c r="P27" i="10"/>
  <c r="BD27" i="10" s="1"/>
  <c r="V101" i="10"/>
  <c r="AU101" i="10" s="1"/>
  <c r="K27" i="10"/>
  <c r="X27" i="10"/>
  <c r="AU100" i="10"/>
  <c r="AZ100" i="10" s="1"/>
  <c r="K101" i="10"/>
  <c r="AE101" i="10"/>
  <c r="Z34" i="10"/>
  <c r="AD15" i="10"/>
  <c r="X26" i="10"/>
  <c r="O34" i="10"/>
  <c r="BC34" i="10" s="1"/>
  <c r="X74" i="10"/>
  <c r="P76" i="10"/>
  <c r="BD76" i="10" s="1"/>
  <c r="AC42" i="10"/>
  <c r="Z8" i="10"/>
  <c r="N8" i="10"/>
  <c r="BB8" i="10" s="1"/>
  <c r="AD8" i="10"/>
  <c r="W9" i="10"/>
  <c r="W11" i="10"/>
  <c r="O15" i="10"/>
  <c r="BC15" i="10" s="1"/>
  <c r="O93" i="10"/>
  <c r="BC93" i="10" s="1"/>
  <c r="O8" i="10"/>
  <c r="BC8" i="10" s="1"/>
  <c r="V45" i="10"/>
  <c r="AU45" i="10" s="1"/>
  <c r="AZ45" i="10" s="1"/>
  <c r="BJ45" i="10" s="1"/>
  <c r="Z46" i="10"/>
  <c r="AD93" i="10"/>
  <c r="N84" i="10"/>
  <c r="BB84" i="10" s="1"/>
  <c r="W29" i="10"/>
  <c r="K8" i="10"/>
  <c r="S8" i="10"/>
  <c r="AR8" i="10" s="1"/>
  <c r="AW8" i="10" s="1"/>
  <c r="AE53" i="10"/>
  <c r="R84" i="10"/>
  <c r="AQ84" i="10" s="1"/>
  <c r="AV84" i="10" s="1"/>
  <c r="AE27" i="10"/>
  <c r="AA29" i="10"/>
  <c r="AC56" i="10"/>
  <c r="K34" i="10"/>
  <c r="U34" i="10"/>
  <c r="AT34" i="10" s="1"/>
  <c r="AY34" i="10" s="1"/>
  <c r="M38" i="10"/>
  <c r="BA38" i="10" s="1"/>
  <c r="DI65" i="10"/>
  <c r="DJ65" i="10"/>
  <c r="Q90" i="10"/>
  <c r="BE90" i="10" s="1"/>
  <c r="S54" i="10"/>
  <c r="AR54" i="10" s="1"/>
  <c r="AW54" i="10" s="1"/>
  <c r="M34" i="10"/>
  <c r="BA34" i="10" s="1"/>
  <c r="AD34" i="10"/>
  <c r="O42" i="10"/>
  <c r="BC42" i="10" s="1"/>
  <c r="DA104" i="10"/>
  <c r="DB104" i="10" s="1"/>
  <c r="DC104" i="10" s="1"/>
  <c r="DD104" i="10" s="1"/>
  <c r="DE104" i="10" s="1"/>
  <c r="DF104" i="10" s="1"/>
  <c r="DG104" i="10" s="1"/>
  <c r="DA36" i="10"/>
  <c r="DB36" i="10" s="1"/>
  <c r="DC36" i="10" s="1"/>
  <c r="DD36" i="10" s="1"/>
  <c r="DE36" i="10" s="1"/>
  <c r="DF36" i="10" s="1"/>
  <c r="DG36" i="10" s="1"/>
  <c r="DJ36" i="10"/>
  <c r="DA17" i="10"/>
  <c r="DB17" i="10" s="1"/>
  <c r="DC17" i="10" s="1"/>
  <c r="DD17" i="10" s="1"/>
  <c r="DE17" i="10" s="1"/>
  <c r="DF17" i="10" s="1"/>
  <c r="DG17" i="10" s="1"/>
  <c r="DJ17" i="10"/>
  <c r="DA85" i="10"/>
  <c r="DB85" i="10" s="1"/>
  <c r="DC85" i="10" s="1"/>
  <c r="DD85" i="10" s="1"/>
  <c r="DE85" i="10" s="1"/>
  <c r="DF85" i="10" s="1"/>
  <c r="DG85" i="10" s="1"/>
  <c r="DA61" i="10"/>
  <c r="DB61" i="10" s="1"/>
  <c r="DC61" i="10" s="1"/>
  <c r="DD61" i="10" s="1"/>
  <c r="DE61" i="10" s="1"/>
  <c r="DF61" i="10" s="1"/>
  <c r="DG61" i="10" s="1"/>
  <c r="DA21" i="10"/>
  <c r="DB21" i="10" s="1"/>
  <c r="DC21" i="10" s="1"/>
  <c r="DD21" i="10" s="1"/>
  <c r="DE21" i="10" s="1"/>
  <c r="DF21" i="10" s="1"/>
  <c r="DG21" i="10" s="1"/>
  <c r="DA81" i="10"/>
  <c r="DB81" i="10" s="1"/>
  <c r="DC81" i="10" s="1"/>
  <c r="DD81" i="10" s="1"/>
  <c r="DE81" i="10" s="1"/>
  <c r="DF81" i="10" s="1"/>
  <c r="DG81" i="10" s="1"/>
  <c r="DJ45" i="10"/>
  <c r="S12" i="10"/>
  <c r="AR12" i="10" s="1"/>
  <c r="AW12" i="10" s="1"/>
  <c r="DA48" i="10"/>
  <c r="DB48" i="10" s="1"/>
  <c r="DC48" i="10" s="1"/>
  <c r="DD48" i="10" s="1"/>
  <c r="DE48" i="10" s="1"/>
  <c r="DF48" i="10" s="1"/>
  <c r="DG48" i="10" s="1"/>
  <c r="Z83" i="10"/>
  <c r="DA52" i="10"/>
  <c r="DB52" i="10" s="1"/>
  <c r="DC52" i="10" s="1"/>
  <c r="DD52" i="10" s="1"/>
  <c r="DE52" i="10" s="1"/>
  <c r="DF52" i="10" s="1"/>
  <c r="DG52" i="10" s="1"/>
  <c r="W93" i="10"/>
  <c r="T70" i="10"/>
  <c r="AS70" i="10" s="1"/>
  <c r="AX70" i="10" s="1"/>
  <c r="AC23" i="10"/>
  <c r="Q25" i="10"/>
  <c r="BE25" i="10" s="1"/>
  <c r="DJ9" i="10"/>
  <c r="DJ24" i="10"/>
  <c r="DJ73" i="10"/>
  <c r="DA79" i="10"/>
  <c r="DA64" i="10"/>
  <c r="DA89" i="10"/>
  <c r="DJ89" i="10"/>
  <c r="DA46" i="10"/>
  <c r="DB46" i="10" s="1"/>
  <c r="DC46" i="10" s="1"/>
  <c r="DD46" i="10" s="1"/>
  <c r="DE46" i="10" s="1"/>
  <c r="DF46" i="10" s="1"/>
  <c r="DG46" i="10" s="1"/>
  <c r="DA67" i="10"/>
  <c r="DB67" i="10" s="1"/>
  <c r="DC67" i="10" s="1"/>
  <c r="DD67" i="10" s="1"/>
  <c r="DE67" i="10" s="1"/>
  <c r="DF67" i="10" s="1"/>
  <c r="DG67" i="10" s="1"/>
  <c r="DA14" i="10"/>
  <c r="DB14" i="10" s="1"/>
  <c r="DC14" i="10" s="1"/>
  <c r="DD14" i="10" s="1"/>
  <c r="DE14" i="10" s="1"/>
  <c r="DF14" i="10" s="1"/>
  <c r="DG14" i="10" s="1"/>
  <c r="DA15" i="10"/>
  <c r="DB15" i="10" s="1"/>
  <c r="DC15" i="10" s="1"/>
  <c r="DD15" i="10" s="1"/>
  <c r="DE15" i="10" s="1"/>
  <c r="DF15" i="10" s="1"/>
  <c r="DG15" i="10" s="1"/>
  <c r="DA69" i="10"/>
  <c r="DB69" i="10" s="1"/>
  <c r="DC69" i="10" s="1"/>
  <c r="DD69" i="10" s="1"/>
  <c r="DE69" i="10" s="1"/>
  <c r="DF69" i="10" s="1"/>
  <c r="DG69" i="10" s="1"/>
  <c r="DA20" i="10"/>
  <c r="DB20" i="10" s="1"/>
  <c r="DC20" i="10" s="1"/>
  <c r="DD20" i="10" s="1"/>
  <c r="DE20" i="10" s="1"/>
  <c r="DF20" i="10" s="1"/>
  <c r="DG20" i="10" s="1"/>
  <c r="DA53" i="10"/>
  <c r="DB53" i="10" s="1"/>
  <c r="DC53" i="10" s="1"/>
  <c r="DD53" i="10" s="1"/>
  <c r="DE53" i="10" s="1"/>
  <c r="DF53" i="10" s="1"/>
  <c r="DG53" i="10" s="1"/>
  <c r="DJ53" i="10"/>
  <c r="DA50" i="10"/>
  <c r="DB50" i="10" s="1"/>
  <c r="DC50" i="10" s="1"/>
  <c r="DD50" i="10" s="1"/>
  <c r="DE50" i="10" s="1"/>
  <c r="DF50" i="10" s="1"/>
  <c r="DG50" i="10" s="1"/>
  <c r="DA72" i="10"/>
  <c r="DB72" i="10" s="1"/>
  <c r="DC72" i="10" s="1"/>
  <c r="DD72" i="10" s="1"/>
  <c r="DE72" i="10" s="1"/>
  <c r="DF72" i="10" s="1"/>
  <c r="DG72" i="10" s="1"/>
  <c r="DJ72" i="10"/>
  <c r="DA71" i="10"/>
  <c r="DB71" i="10" s="1"/>
  <c r="DC71" i="10" s="1"/>
  <c r="DD71" i="10" s="1"/>
  <c r="DE71" i="10" s="1"/>
  <c r="DF71" i="10" s="1"/>
  <c r="DG71" i="10" s="1"/>
  <c r="DJ71" i="10"/>
  <c r="DA103" i="10"/>
  <c r="DB103" i="10" s="1"/>
  <c r="DC103" i="10" s="1"/>
  <c r="DD103" i="10" s="1"/>
  <c r="DE103" i="10" s="1"/>
  <c r="DF103" i="10" s="1"/>
  <c r="DG103" i="10" s="1"/>
  <c r="DA55" i="10"/>
  <c r="DB55" i="10" s="1"/>
  <c r="DC55" i="10" s="1"/>
  <c r="DD55" i="10" s="1"/>
  <c r="DE55" i="10" s="1"/>
  <c r="DF55" i="10" s="1"/>
  <c r="DG55" i="10" s="1"/>
  <c r="DA74" i="10"/>
  <c r="DB74" i="10" s="1"/>
  <c r="DC74" i="10" s="1"/>
  <c r="DD74" i="10" s="1"/>
  <c r="DE74" i="10" s="1"/>
  <c r="DF74" i="10" s="1"/>
  <c r="DG74" i="10" s="1"/>
  <c r="DA29" i="10"/>
  <c r="DB29" i="10" s="1"/>
  <c r="DC29" i="10" s="1"/>
  <c r="DD29" i="10" s="1"/>
  <c r="DE29" i="10" s="1"/>
  <c r="DF29" i="10" s="1"/>
  <c r="DG29" i="10" s="1"/>
  <c r="DJ29" i="10"/>
  <c r="DA100" i="10"/>
  <c r="DB100" i="10" s="1"/>
  <c r="DC100" i="10" s="1"/>
  <c r="DD100" i="10" s="1"/>
  <c r="DE100" i="10" s="1"/>
  <c r="DF100" i="10" s="1"/>
  <c r="DG100" i="10" s="1"/>
  <c r="DA102" i="10"/>
  <c r="DB102" i="10" s="1"/>
  <c r="DC102" i="10" s="1"/>
  <c r="DD102" i="10" s="1"/>
  <c r="DE102" i="10" s="1"/>
  <c r="DF102" i="10" s="1"/>
  <c r="DG102" i="10" s="1"/>
  <c r="DA42" i="10"/>
  <c r="DB42" i="10" s="1"/>
  <c r="DC42" i="10" s="1"/>
  <c r="DD42" i="10" s="1"/>
  <c r="DE42" i="10" s="1"/>
  <c r="DF42" i="10" s="1"/>
  <c r="DG42" i="10" s="1"/>
  <c r="DA59" i="10"/>
  <c r="DB59" i="10" s="1"/>
  <c r="DC59" i="10" s="1"/>
  <c r="DD59" i="10" s="1"/>
  <c r="DE59" i="10" s="1"/>
  <c r="DF59" i="10" s="1"/>
  <c r="DG59" i="10" s="1"/>
  <c r="AK79" i="10"/>
  <c r="Y8" i="10"/>
  <c r="W81" i="10"/>
  <c r="M45" i="10"/>
  <c r="BA45" i="10" s="1"/>
  <c r="DA45" i="10"/>
  <c r="N90" i="10"/>
  <c r="BB90" i="10" s="1"/>
  <c r="AD67" i="10"/>
  <c r="S15" i="10"/>
  <c r="AR15" i="10" s="1"/>
  <c r="Y17" i="10"/>
  <c r="DA49" i="10"/>
  <c r="DB49" i="10" s="1"/>
  <c r="DC49" i="10" s="1"/>
  <c r="DD49" i="10" s="1"/>
  <c r="DE49" i="10" s="1"/>
  <c r="DF49" i="10" s="1"/>
  <c r="DG49" i="10" s="1"/>
  <c r="DJ49" i="10"/>
  <c r="P19" i="10"/>
  <c r="BD19" i="10" s="1"/>
  <c r="DJ69" i="10"/>
  <c r="AB22" i="10"/>
  <c r="K83" i="10"/>
  <c r="DA51" i="10"/>
  <c r="DB51" i="10" s="1"/>
  <c r="DC51" i="10" s="1"/>
  <c r="DD51" i="10" s="1"/>
  <c r="DE51" i="10" s="1"/>
  <c r="DF51" i="10" s="1"/>
  <c r="DG51" i="10" s="1"/>
  <c r="Q52" i="10"/>
  <c r="BE52" i="10" s="1"/>
  <c r="N93" i="10"/>
  <c r="BB93" i="10" s="1"/>
  <c r="AC93" i="10"/>
  <c r="AC53" i="10"/>
  <c r="Q71" i="10"/>
  <c r="BE71" i="10" s="1"/>
  <c r="U24" i="10"/>
  <c r="AT24" i="10" s="1"/>
  <c r="AC84" i="10"/>
  <c r="N26" i="10"/>
  <c r="BB26" i="10" s="1"/>
  <c r="O27" i="10"/>
  <c r="BC27" i="10" s="1"/>
  <c r="AA27" i="10"/>
  <c r="R98" i="10"/>
  <c r="N30" i="10"/>
  <c r="BB30" i="10" s="1"/>
  <c r="N34" i="10"/>
  <c r="BB34" i="10" s="1"/>
  <c r="W34" i="10"/>
  <c r="M74" i="10"/>
  <c r="BA74" i="10" s="1"/>
  <c r="Q101" i="10"/>
  <c r="BE101" i="10" s="1"/>
  <c r="AF102" i="10"/>
  <c r="DA80" i="10"/>
  <c r="DB80" i="10" s="1"/>
  <c r="DC80" i="10" s="1"/>
  <c r="DD80" i="10" s="1"/>
  <c r="DE80" i="10" s="1"/>
  <c r="DF80" i="10" s="1"/>
  <c r="DG80" i="10" s="1"/>
  <c r="DA11" i="10"/>
  <c r="DB11" i="10" s="1"/>
  <c r="DC11" i="10" s="1"/>
  <c r="DD11" i="10" s="1"/>
  <c r="DE11" i="10" s="1"/>
  <c r="DF11" i="10" s="1"/>
  <c r="DG11" i="10" s="1"/>
  <c r="DA12" i="10"/>
  <c r="DB12" i="10" s="1"/>
  <c r="DC12" i="10" s="1"/>
  <c r="DD12" i="10" s="1"/>
  <c r="DE12" i="10" s="1"/>
  <c r="DF12" i="10" s="1"/>
  <c r="DG12" i="10" s="1"/>
  <c r="DA19" i="10"/>
  <c r="DB19" i="10" s="1"/>
  <c r="DC19" i="10" s="1"/>
  <c r="DD19" i="10" s="1"/>
  <c r="DE19" i="10" s="1"/>
  <c r="DF19" i="10" s="1"/>
  <c r="DG19" i="10" s="1"/>
  <c r="DA95" i="10"/>
  <c r="DB95" i="10" s="1"/>
  <c r="DC95" i="10" s="1"/>
  <c r="DD95" i="10" s="1"/>
  <c r="DE95" i="10" s="1"/>
  <c r="DF95" i="10" s="1"/>
  <c r="DG95" i="10" s="1"/>
  <c r="DA83" i="10"/>
  <c r="DB83" i="10" s="1"/>
  <c r="DC83" i="10" s="1"/>
  <c r="DD83" i="10" s="1"/>
  <c r="DE83" i="10" s="1"/>
  <c r="DF83" i="10" s="1"/>
  <c r="DG83" i="10" s="1"/>
  <c r="DA27" i="10"/>
  <c r="DB27" i="10" s="1"/>
  <c r="DC27" i="10" s="1"/>
  <c r="DD27" i="10" s="1"/>
  <c r="DE27" i="10" s="1"/>
  <c r="DF27" i="10" s="1"/>
  <c r="DG27" i="10" s="1"/>
  <c r="DJ27" i="10"/>
  <c r="DA97" i="10"/>
  <c r="DB97" i="10" s="1"/>
  <c r="DC97" i="10" s="1"/>
  <c r="DD97" i="10" s="1"/>
  <c r="DE97" i="10" s="1"/>
  <c r="DF97" i="10" s="1"/>
  <c r="DG97" i="10" s="1"/>
  <c r="DA101" i="10"/>
  <c r="DB101" i="10" s="1"/>
  <c r="DC101" i="10" s="1"/>
  <c r="DD101" i="10" s="1"/>
  <c r="DE101" i="10" s="1"/>
  <c r="DF101" i="10" s="1"/>
  <c r="DG101" i="10" s="1"/>
  <c r="DA41" i="10"/>
  <c r="DB41" i="10" s="1"/>
  <c r="DC41" i="10" s="1"/>
  <c r="DD41" i="10" s="1"/>
  <c r="DE41" i="10" s="1"/>
  <c r="DF41" i="10" s="1"/>
  <c r="DG41" i="10" s="1"/>
  <c r="DJ41" i="10"/>
  <c r="DA96" i="10"/>
  <c r="DB96" i="10" s="1"/>
  <c r="DC96" i="10" s="1"/>
  <c r="DD96" i="10" s="1"/>
  <c r="DE96" i="10" s="1"/>
  <c r="DF96" i="10" s="1"/>
  <c r="DG96" i="10" s="1"/>
  <c r="DA32" i="10"/>
  <c r="DB32" i="10" s="1"/>
  <c r="DC32" i="10" s="1"/>
  <c r="DD32" i="10" s="1"/>
  <c r="DE32" i="10" s="1"/>
  <c r="DF32" i="10" s="1"/>
  <c r="DG32" i="10" s="1"/>
  <c r="DA31" i="10"/>
  <c r="DB31" i="10" s="1"/>
  <c r="DC31" i="10" s="1"/>
  <c r="DD31" i="10" s="1"/>
  <c r="DE31" i="10" s="1"/>
  <c r="DF31" i="10" s="1"/>
  <c r="DG31" i="10" s="1"/>
  <c r="DA39" i="10"/>
  <c r="DB39" i="10" s="1"/>
  <c r="DC39" i="10" s="1"/>
  <c r="DD39" i="10" s="1"/>
  <c r="DE39" i="10" s="1"/>
  <c r="DF39" i="10" s="1"/>
  <c r="DG39" i="10" s="1"/>
  <c r="DA38" i="10"/>
  <c r="DB38" i="10" s="1"/>
  <c r="DC38" i="10" s="1"/>
  <c r="DD38" i="10" s="1"/>
  <c r="DE38" i="10" s="1"/>
  <c r="DF38" i="10" s="1"/>
  <c r="DG38" i="10" s="1"/>
  <c r="DA30" i="10"/>
  <c r="DB30" i="10" s="1"/>
  <c r="DC30" i="10" s="1"/>
  <c r="DD30" i="10" s="1"/>
  <c r="DE30" i="10" s="1"/>
  <c r="DF30" i="10" s="1"/>
  <c r="DG30" i="10" s="1"/>
  <c r="DA37" i="10"/>
  <c r="DB37" i="10" s="1"/>
  <c r="DC37" i="10" s="1"/>
  <c r="DD37" i="10" s="1"/>
  <c r="DE37" i="10" s="1"/>
  <c r="DF37" i="10" s="1"/>
  <c r="DG37" i="10" s="1"/>
  <c r="DJ10" i="10"/>
  <c r="DJ104" i="10"/>
  <c r="DJ74" i="10"/>
  <c r="DJ96" i="10"/>
  <c r="DA8" i="10"/>
  <c r="DJ8" i="10"/>
  <c r="DA9" i="10"/>
  <c r="DB9" i="10" s="1"/>
  <c r="DC9" i="10" s="1"/>
  <c r="DD9" i="10" s="1"/>
  <c r="DE9" i="10" s="1"/>
  <c r="DF9" i="10" s="1"/>
  <c r="DG9" i="10" s="1"/>
  <c r="DA10" i="10"/>
  <c r="DB10" i="10" s="1"/>
  <c r="DC10" i="10" s="1"/>
  <c r="DD10" i="10" s="1"/>
  <c r="DE10" i="10" s="1"/>
  <c r="DF10" i="10" s="1"/>
  <c r="DG10" i="10" s="1"/>
  <c r="DA13" i="10"/>
  <c r="DB13" i="10" s="1"/>
  <c r="DC13" i="10" s="1"/>
  <c r="DD13" i="10" s="1"/>
  <c r="DE13" i="10" s="1"/>
  <c r="DF13" i="10" s="1"/>
  <c r="DG13" i="10" s="1"/>
  <c r="DA68" i="10"/>
  <c r="DB68" i="10" s="1"/>
  <c r="DC68" i="10" s="1"/>
  <c r="DD68" i="10" s="1"/>
  <c r="DE68" i="10" s="1"/>
  <c r="DF68" i="10" s="1"/>
  <c r="DG68" i="10" s="1"/>
  <c r="DA18" i="10"/>
  <c r="DB18" i="10" s="1"/>
  <c r="DC18" i="10" s="1"/>
  <c r="DD18" i="10" s="1"/>
  <c r="DE18" i="10" s="1"/>
  <c r="DF18" i="10" s="1"/>
  <c r="DG18" i="10" s="1"/>
  <c r="DJ18" i="10"/>
  <c r="DA23" i="10"/>
  <c r="DB23" i="10" s="1"/>
  <c r="DC23" i="10" s="1"/>
  <c r="DD23" i="10" s="1"/>
  <c r="DE23" i="10" s="1"/>
  <c r="DF23" i="10" s="1"/>
  <c r="DG23" i="10" s="1"/>
  <c r="DA70" i="10"/>
  <c r="DB70" i="10" s="1"/>
  <c r="DC70" i="10" s="1"/>
  <c r="DD70" i="10" s="1"/>
  <c r="DE70" i="10" s="1"/>
  <c r="DF70" i="10" s="1"/>
  <c r="DG70" i="10" s="1"/>
  <c r="DA25" i="10"/>
  <c r="DB25" i="10" s="1"/>
  <c r="DC25" i="10" s="1"/>
  <c r="DD25" i="10" s="1"/>
  <c r="DE25" i="10" s="1"/>
  <c r="DF25" i="10" s="1"/>
  <c r="DG25" i="10" s="1"/>
  <c r="DA24" i="10"/>
  <c r="DB24" i="10" s="1"/>
  <c r="DC24" i="10" s="1"/>
  <c r="DD24" i="10" s="1"/>
  <c r="DE24" i="10" s="1"/>
  <c r="DF24" i="10" s="1"/>
  <c r="DG24" i="10" s="1"/>
  <c r="DA26" i="10"/>
  <c r="DB26" i="10" s="1"/>
  <c r="DC26" i="10" s="1"/>
  <c r="DD26" i="10" s="1"/>
  <c r="DE26" i="10" s="1"/>
  <c r="DF26" i="10" s="1"/>
  <c r="DG26" i="10" s="1"/>
  <c r="DJ26" i="10"/>
  <c r="DA73" i="10"/>
  <c r="DB73" i="10" s="1"/>
  <c r="DC73" i="10" s="1"/>
  <c r="DD73" i="10" s="1"/>
  <c r="DE73" i="10" s="1"/>
  <c r="DF73" i="10" s="1"/>
  <c r="DG73" i="10" s="1"/>
  <c r="DA57" i="10"/>
  <c r="DB57" i="10" s="1"/>
  <c r="DC57" i="10" s="1"/>
  <c r="DD57" i="10" s="1"/>
  <c r="DE57" i="10" s="1"/>
  <c r="DF57" i="10" s="1"/>
  <c r="DG57" i="10" s="1"/>
  <c r="DJ57" i="10"/>
  <c r="DA90" i="10"/>
  <c r="DB90" i="10" s="1"/>
  <c r="DC90" i="10" s="1"/>
  <c r="DD90" i="10" s="1"/>
  <c r="DE90" i="10" s="1"/>
  <c r="DF90" i="10" s="1"/>
  <c r="DG90" i="10" s="1"/>
  <c r="DJ90" i="10"/>
  <c r="DA28" i="10"/>
  <c r="DB28" i="10" s="1"/>
  <c r="DC28" i="10" s="1"/>
  <c r="DD28" i="10" s="1"/>
  <c r="DE28" i="10" s="1"/>
  <c r="DF28" i="10" s="1"/>
  <c r="DG28" i="10" s="1"/>
  <c r="DA34" i="10"/>
  <c r="DB34" i="10" s="1"/>
  <c r="DC34" i="10" s="1"/>
  <c r="DD34" i="10" s="1"/>
  <c r="DE34" i="10" s="1"/>
  <c r="DF34" i="10" s="1"/>
  <c r="DG34" i="10" s="1"/>
  <c r="DA58" i="10"/>
  <c r="DB58" i="10" s="1"/>
  <c r="DC58" i="10" s="1"/>
  <c r="DD58" i="10" s="1"/>
  <c r="DE58" i="10" s="1"/>
  <c r="DF58" i="10" s="1"/>
  <c r="DG58" i="10" s="1"/>
  <c r="DA47" i="10"/>
  <c r="DB47" i="10" s="1"/>
  <c r="DC47" i="10" s="1"/>
  <c r="DD47" i="10" s="1"/>
  <c r="DE47" i="10" s="1"/>
  <c r="DF47" i="10" s="1"/>
  <c r="DG47" i="10" s="1"/>
  <c r="DJ25" i="10"/>
  <c r="DJ83" i="10"/>
  <c r="DJ81" i="10"/>
  <c r="O12" i="10"/>
  <c r="BC12" i="10" s="1"/>
  <c r="AD90" i="10"/>
  <c r="DJ48" i="10"/>
  <c r="U83" i="10"/>
  <c r="AT83" i="10" s="1"/>
  <c r="DJ52" i="10"/>
  <c r="K93" i="10"/>
  <c r="U93" i="10"/>
  <c r="AT93" i="10" s="1"/>
  <c r="O70" i="10"/>
  <c r="BC70" i="10" s="1"/>
  <c r="N23" i="10"/>
  <c r="BB23" i="10" s="1"/>
  <c r="AC71" i="10"/>
  <c r="P25" i="10"/>
  <c r="BD25" i="10" s="1"/>
  <c r="V27" i="10"/>
  <c r="AU27" i="10" s="1"/>
  <c r="AC30" i="10"/>
  <c r="DA33" i="10"/>
  <c r="DB33" i="10" s="1"/>
  <c r="DC33" i="10" s="1"/>
  <c r="DD33" i="10" s="1"/>
  <c r="DE33" i="10" s="1"/>
  <c r="DF33" i="10" s="1"/>
  <c r="DG33" i="10" s="1"/>
  <c r="S34" i="10"/>
  <c r="AR34" i="10" s="1"/>
  <c r="AW34" i="10" s="1"/>
  <c r="AC34" i="10"/>
  <c r="AD101" i="10"/>
  <c r="DA35" i="10"/>
  <c r="DB35" i="10" s="1"/>
  <c r="DC35" i="10" s="1"/>
  <c r="DD35" i="10" s="1"/>
  <c r="DE35" i="10" s="1"/>
  <c r="DF35" i="10" s="1"/>
  <c r="DG35" i="10" s="1"/>
  <c r="S37" i="10"/>
  <c r="AR37" i="10" s="1"/>
  <c r="AW37" i="10" s="1"/>
  <c r="DJ12" i="10"/>
  <c r="DJ95" i="10"/>
  <c r="DJ70" i="10"/>
  <c r="DJ28" i="10"/>
  <c r="DA91" i="10"/>
  <c r="DB91" i="10" s="1"/>
  <c r="DC91" i="10" s="1"/>
  <c r="DD91" i="10" s="1"/>
  <c r="DE91" i="10" s="1"/>
  <c r="DF91" i="10" s="1"/>
  <c r="DG91" i="10" s="1"/>
  <c r="DA92" i="10"/>
  <c r="DB92" i="10" s="1"/>
  <c r="DC92" i="10" s="1"/>
  <c r="DD92" i="10" s="1"/>
  <c r="DE92" i="10" s="1"/>
  <c r="DF92" i="10" s="1"/>
  <c r="DG92" i="10" s="1"/>
  <c r="DA82" i="10"/>
  <c r="DB82" i="10" s="1"/>
  <c r="DC82" i="10" s="1"/>
  <c r="DD82" i="10" s="1"/>
  <c r="DE82" i="10" s="1"/>
  <c r="DF82" i="10" s="1"/>
  <c r="DG82" i="10" s="1"/>
  <c r="DA16" i="10"/>
  <c r="DB16" i="10" s="1"/>
  <c r="DC16" i="10" s="1"/>
  <c r="DD16" i="10" s="1"/>
  <c r="DE16" i="10" s="1"/>
  <c r="DF16" i="10" s="1"/>
  <c r="DG16" i="10" s="1"/>
  <c r="DA22" i="10"/>
  <c r="DB22" i="10" s="1"/>
  <c r="DC22" i="10" s="1"/>
  <c r="DD22" i="10" s="1"/>
  <c r="DE22" i="10" s="1"/>
  <c r="DF22" i="10" s="1"/>
  <c r="DG22" i="10" s="1"/>
  <c r="DJ22" i="10"/>
  <c r="DA94" i="10"/>
  <c r="DB94" i="10" s="1"/>
  <c r="DC94" i="10" s="1"/>
  <c r="DD94" i="10" s="1"/>
  <c r="DE94" i="10" s="1"/>
  <c r="DF94" i="10" s="1"/>
  <c r="DG94" i="10" s="1"/>
  <c r="DJ94" i="10"/>
  <c r="DA93" i="10"/>
  <c r="DB93" i="10" s="1"/>
  <c r="DC93" i="10" s="1"/>
  <c r="DD93" i="10" s="1"/>
  <c r="DE93" i="10" s="1"/>
  <c r="DF93" i="10" s="1"/>
  <c r="DG93" i="10" s="1"/>
  <c r="DA84" i="10"/>
  <c r="DB84" i="10" s="1"/>
  <c r="DC84" i="10" s="1"/>
  <c r="DD84" i="10" s="1"/>
  <c r="DE84" i="10" s="1"/>
  <c r="DF84" i="10" s="1"/>
  <c r="DG84" i="10" s="1"/>
  <c r="DA54" i="10"/>
  <c r="DB54" i="10" s="1"/>
  <c r="DC54" i="10" s="1"/>
  <c r="DD54" i="10" s="1"/>
  <c r="DE54" i="10" s="1"/>
  <c r="DF54" i="10" s="1"/>
  <c r="DG54" i="10" s="1"/>
  <c r="DJ54" i="10"/>
  <c r="DA86" i="10"/>
  <c r="DB86" i="10" s="1"/>
  <c r="DC86" i="10" s="1"/>
  <c r="DD86" i="10" s="1"/>
  <c r="DE86" i="10" s="1"/>
  <c r="DF86" i="10" s="1"/>
  <c r="DG86" i="10" s="1"/>
  <c r="DA98" i="10"/>
  <c r="DB98" i="10" s="1"/>
  <c r="DC98" i="10" s="1"/>
  <c r="DD98" i="10" s="1"/>
  <c r="DE98" i="10" s="1"/>
  <c r="DF98" i="10" s="1"/>
  <c r="DG98" i="10" s="1"/>
  <c r="DA66" i="10"/>
  <c r="DB66" i="10" s="1"/>
  <c r="DC66" i="10" s="1"/>
  <c r="DD66" i="10" s="1"/>
  <c r="DE66" i="10" s="1"/>
  <c r="DF66" i="10" s="1"/>
  <c r="DG66" i="10" s="1"/>
  <c r="DJ66" i="10"/>
  <c r="DA99" i="10"/>
  <c r="DB99" i="10" s="1"/>
  <c r="DC99" i="10" s="1"/>
  <c r="DD99" i="10" s="1"/>
  <c r="DE99" i="10" s="1"/>
  <c r="DF99" i="10" s="1"/>
  <c r="DG99" i="10" s="1"/>
  <c r="DA56" i="10"/>
  <c r="DB56" i="10" s="1"/>
  <c r="DC56" i="10" s="1"/>
  <c r="DD56" i="10" s="1"/>
  <c r="DE56" i="10" s="1"/>
  <c r="DF56" i="10" s="1"/>
  <c r="DG56" i="10" s="1"/>
  <c r="DJ56" i="10"/>
  <c r="DA75" i="10"/>
  <c r="DB75" i="10" s="1"/>
  <c r="DC75" i="10" s="1"/>
  <c r="DD75" i="10" s="1"/>
  <c r="DE75" i="10" s="1"/>
  <c r="DF75" i="10" s="1"/>
  <c r="DG75" i="10" s="1"/>
  <c r="DJ75" i="10"/>
  <c r="DA76" i="10"/>
  <c r="DB76" i="10" s="1"/>
  <c r="DC76" i="10" s="1"/>
  <c r="DD76" i="10" s="1"/>
  <c r="DE76" i="10" s="1"/>
  <c r="DF76" i="10" s="1"/>
  <c r="DG76" i="10" s="1"/>
  <c r="DA40" i="10"/>
  <c r="DB40" i="10" s="1"/>
  <c r="DC40" i="10" s="1"/>
  <c r="DD40" i="10" s="1"/>
  <c r="DE40" i="10" s="1"/>
  <c r="DF40" i="10" s="1"/>
  <c r="DG40" i="10" s="1"/>
  <c r="DA60" i="10"/>
  <c r="DB60" i="10" s="1"/>
  <c r="DC60" i="10" s="1"/>
  <c r="DD60" i="10" s="1"/>
  <c r="DE60" i="10" s="1"/>
  <c r="DF60" i="10" s="1"/>
  <c r="DG60" i="10" s="1"/>
  <c r="CC10" i="10"/>
  <c r="CB10" i="10"/>
  <c r="CC98" i="10"/>
  <c r="CB98" i="10"/>
  <c r="CC91" i="10"/>
  <c r="CB91" i="10"/>
  <c r="CC12" i="10"/>
  <c r="CB12" i="10"/>
  <c r="CC72" i="10"/>
  <c r="CB72" i="10"/>
  <c r="CC95" i="10"/>
  <c r="CB95" i="10"/>
  <c r="CC22" i="10"/>
  <c r="CB22" i="10"/>
  <c r="CC97" i="10"/>
  <c r="CB97" i="10"/>
  <c r="CC26" i="10"/>
  <c r="CB26" i="10"/>
  <c r="CB76" i="10"/>
  <c r="CC76" i="10"/>
  <c r="CC57" i="10"/>
  <c r="CB57" i="10"/>
  <c r="CB19" i="10"/>
  <c r="CC19" i="10"/>
  <c r="CC73" i="10"/>
  <c r="CB73" i="10"/>
  <c r="CC69" i="10"/>
  <c r="CB69" i="10"/>
  <c r="CC52" i="10"/>
  <c r="CB52" i="10"/>
  <c r="CC39" i="10"/>
  <c r="CB39" i="10"/>
  <c r="CB9" i="10"/>
  <c r="CC9" i="10"/>
  <c r="CB13" i="10"/>
  <c r="CC13" i="10"/>
  <c r="CC25" i="10"/>
  <c r="CB25" i="10"/>
  <c r="CC70" i="10"/>
  <c r="CB70" i="10"/>
  <c r="CC101" i="10"/>
  <c r="CB101" i="10"/>
  <c r="CC84" i="10"/>
  <c r="CB84" i="10"/>
  <c r="CB42" i="10"/>
  <c r="CC42" i="10"/>
  <c r="CB64" i="10"/>
  <c r="CC64" i="10"/>
  <c r="CB67" i="10"/>
  <c r="CC67" i="10"/>
  <c r="CC71" i="10"/>
  <c r="CB71" i="10"/>
  <c r="CB83" i="10"/>
  <c r="CC83" i="10"/>
  <c r="CC104" i="10"/>
  <c r="CB104" i="10"/>
  <c r="CB74" i="10"/>
  <c r="CC74" i="10"/>
  <c r="CB60" i="10"/>
  <c r="CC60" i="10"/>
  <c r="CE79" i="10"/>
  <c r="CD79" i="10"/>
  <c r="CB81" i="10"/>
  <c r="CB87" i="10" s="1"/>
  <c r="CC81" i="10"/>
  <c r="CC45" i="10"/>
  <c r="CB45" i="10"/>
  <c r="CB15" i="10"/>
  <c r="CC15" i="10"/>
  <c r="CB48" i="10"/>
  <c r="CC48" i="10"/>
  <c r="CC30" i="10"/>
  <c r="CB30" i="10"/>
  <c r="CB33" i="10"/>
  <c r="CC33" i="10"/>
  <c r="CB103" i="10"/>
  <c r="CC103" i="10"/>
  <c r="CB92" i="10"/>
  <c r="CC92" i="10"/>
  <c r="CC82" i="10"/>
  <c r="CB82" i="10"/>
  <c r="CC94" i="10"/>
  <c r="CB94" i="10"/>
  <c r="CB90" i="10"/>
  <c r="CC90" i="10"/>
  <c r="CC24" i="10"/>
  <c r="CB24" i="10"/>
  <c r="CB93" i="10"/>
  <c r="CC93" i="10"/>
  <c r="CC16" i="10"/>
  <c r="CB16" i="10"/>
  <c r="CC29" i="10"/>
  <c r="CB29" i="10"/>
  <c r="CC102" i="10"/>
  <c r="CB102" i="10"/>
  <c r="CC75" i="10"/>
  <c r="CB75" i="10"/>
  <c r="CB14" i="10"/>
  <c r="CC14" i="10"/>
  <c r="CC34" i="10"/>
  <c r="CB34" i="10"/>
  <c r="CE80" i="10"/>
  <c r="CD80" i="10"/>
  <c r="CE8" i="10"/>
  <c r="CD8" i="10"/>
  <c r="Y64" i="10"/>
  <c r="Y89" i="10"/>
  <c r="Z13" i="10"/>
  <c r="T57" i="10"/>
  <c r="AS57" i="10" s="1"/>
  <c r="AX57" i="10" s="1"/>
  <c r="U45" i="10"/>
  <c r="AT45" i="10" s="1"/>
  <c r="AD45" i="10"/>
  <c r="V89" i="10"/>
  <c r="AU89" i="10" s="1"/>
  <c r="AZ89" i="10" s="1"/>
  <c r="BJ89" i="10" s="1"/>
  <c r="K91" i="10"/>
  <c r="W91" i="10"/>
  <c r="K92" i="10"/>
  <c r="V13" i="10"/>
  <c r="AU13" i="10" s="1"/>
  <c r="U17" i="10"/>
  <c r="AT17" i="10" s="1"/>
  <c r="AY17" i="10" s="1"/>
  <c r="AE17" i="10"/>
  <c r="X94" i="10"/>
  <c r="K57" i="10"/>
  <c r="P57" i="10"/>
  <c r="BD57" i="10" s="1"/>
  <c r="AA57" i="10"/>
  <c r="W99" i="10"/>
  <c r="AA100" i="10"/>
  <c r="K75" i="10"/>
  <c r="U75" i="10"/>
  <c r="AT75" i="10" s="1"/>
  <c r="W59" i="10"/>
  <c r="Q64" i="10"/>
  <c r="BE64" i="10" s="1"/>
  <c r="AG79" i="10"/>
  <c r="U8" i="10"/>
  <c r="AT8" i="10" s="1"/>
  <c r="AY8" i="10" s="1"/>
  <c r="AE8" i="10"/>
  <c r="L80" i="10"/>
  <c r="S80" i="10" s="1"/>
  <c r="N64" i="10"/>
  <c r="BB64" i="10" s="1"/>
  <c r="AD64" i="10"/>
  <c r="K81" i="10"/>
  <c r="K9" i="10"/>
  <c r="N45" i="10"/>
  <c r="BB45" i="10" s="1"/>
  <c r="Y45" i="10"/>
  <c r="N89" i="10"/>
  <c r="BB89" i="10" s="1"/>
  <c r="AD89" i="10"/>
  <c r="K12" i="10"/>
  <c r="W12" i="10"/>
  <c r="V90" i="10"/>
  <c r="AU90" i="10" s="1"/>
  <c r="AZ90" i="10" s="1"/>
  <c r="BJ90" i="10" s="1"/>
  <c r="O91" i="10"/>
  <c r="BC91" i="10" s="1"/>
  <c r="S92" i="10"/>
  <c r="AR92" i="10" s="1"/>
  <c r="N13" i="10"/>
  <c r="BB13" i="10" s="1"/>
  <c r="AF13" i="10"/>
  <c r="X15" i="10"/>
  <c r="T16" i="10"/>
  <c r="AS16" i="10" s="1"/>
  <c r="O17" i="10"/>
  <c r="BC17" i="10" s="1"/>
  <c r="Z17" i="10"/>
  <c r="X19" i="10"/>
  <c r="M21" i="10"/>
  <c r="BA21" i="10" s="1"/>
  <c r="S21" i="10"/>
  <c r="AR21" i="10" s="1"/>
  <c r="AW21" i="10" s="1"/>
  <c r="Z21" i="10"/>
  <c r="AE83" i="10"/>
  <c r="M51" i="10"/>
  <c r="BA51" i="10" s="1"/>
  <c r="S51" i="10"/>
  <c r="AR51" i="10" s="1"/>
  <c r="AW51" i="10" s="1"/>
  <c r="Z51" i="10"/>
  <c r="Y52" i="10"/>
  <c r="R93" i="10"/>
  <c r="AQ93" i="10" s="1"/>
  <c r="Y93" i="10"/>
  <c r="AE93" i="10"/>
  <c r="AE70" i="10"/>
  <c r="M94" i="10"/>
  <c r="BA94" i="10" s="1"/>
  <c r="Q23" i="10"/>
  <c r="BE23" i="10" s="1"/>
  <c r="AD23" i="10"/>
  <c r="W71" i="10"/>
  <c r="T54" i="10"/>
  <c r="AS54" i="10" s="1"/>
  <c r="AX54" i="10" s="1"/>
  <c r="AE24" i="10"/>
  <c r="S84" i="10"/>
  <c r="AR84" i="10" s="1"/>
  <c r="AW84" i="10" s="1"/>
  <c r="AD84" i="10"/>
  <c r="R85" i="10"/>
  <c r="AQ85" i="10" s="1"/>
  <c r="AV85" i="10" s="1"/>
  <c r="V96" i="10"/>
  <c r="AU96" i="10" s="1"/>
  <c r="AZ96" i="10" s="1"/>
  <c r="Y26" i="10"/>
  <c r="T28" i="10"/>
  <c r="AS28" i="10" s="1"/>
  <c r="AX28" i="10" s="1"/>
  <c r="Y98" i="10"/>
  <c r="X30" i="10"/>
  <c r="N57" i="10"/>
  <c r="BB57" i="10" s="1"/>
  <c r="V57" i="10"/>
  <c r="AU57" i="10" s="1"/>
  <c r="AE57" i="10"/>
  <c r="M99" i="10"/>
  <c r="BA99" i="10" s="1"/>
  <c r="Q100" i="10"/>
  <c r="BE100" i="10" s="1"/>
  <c r="O75" i="10"/>
  <c r="BC75" i="10" s="1"/>
  <c r="AF75" i="10"/>
  <c r="O103" i="10"/>
  <c r="BC103" i="10" s="1"/>
  <c r="M104" i="10"/>
  <c r="BA104" i="10" s="1"/>
  <c r="S39" i="10"/>
  <c r="AR39" i="10" s="1"/>
  <c r="AW39" i="10" s="1"/>
  <c r="O41" i="10"/>
  <c r="BC41" i="10" s="1"/>
  <c r="P42" i="10"/>
  <c r="BD42" i="10" s="1"/>
  <c r="AE42" i="10"/>
  <c r="O59" i="10"/>
  <c r="BC59" i="10" s="1"/>
  <c r="AB59" i="10"/>
  <c r="CB20" i="10"/>
  <c r="CC20" i="10"/>
  <c r="CC32" i="10"/>
  <c r="CB32" i="10"/>
  <c r="CB11" i="10"/>
  <c r="CC11" i="10"/>
  <c r="CC54" i="10"/>
  <c r="CB54" i="10"/>
  <c r="CC46" i="10"/>
  <c r="CB46" i="10"/>
  <c r="CB23" i="10"/>
  <c r="CC23" i="10"/>
  <c r="CB36" i="10"/>
  <c r="CC36" i="10"/>
  <c r="CB17" i="10"/>
  <c r="CC17" i="10"/>
  <c r="CC59" i="10"/>
  <c r="CB59" i="10"/>
  <c r="CC65" i="10"/>
  <c r="CB65" i="10"/>
  <c r="CC18" i="10"/>
  <c r="CB18" i="10"/>
  <c r="CC56" i="10"/>
  <c r="CB56" i="10"/>
  <c r="CC53" i="10"/>
  <c r="CB53" i="10"/>
  <c r="CC68" i="10"/>
  <c r="CB68" i="10"/>
  <c r="CC27" i="10"/>
  <c r="CB27" i="10"/>
  <c r="CC47" i="10"/>
  <c r="CB47" i="10"/>
  <c r="CB21" i="10"/>
  <c r="CC21" i="10"/>
  <c r="CB51" i="10"/>
  <c r="CC51" i="10"/>
  <c r="CB37" i="10"/>
  <c r="CC37" i="10"/>
  <c r="CC50" i="10"/>
  <c r="CB50" i="10"/>
  <c r="CB89" i="10"/>
  <c r="CC89" i="10"/>
  <c r="CB66" i="10"/>
  <c r="CC66" i="10"/>
  <c r="CC85" i="10"/>
  <c r="CB85" i="10"/>
  <c r="CC49" i="10"/>
  <c r="CB49" i="10"/>
  <c r="CC86" i="10"/>
  <c r="CB86" i="10"/>
  <c r="CB40" i="10"/>
  <c r="CC40" i="10"/>
  <c r="CB38" i="10"/>
  <c r="CC38" i="10"/>
  <c r="CB99" i="10"/>
  <c r="CC99" i="10"/>
  <c r="CB41" i="10"/>
  <c r="CC41" i="10"/>
  <c r="AE91" i="10"/>
  <c r="R21" i="10"/>
  <c r="AQ21" i="10" s="1"/>
  <c r="AV21" i="10" s="1"/>
  <c r="Y21" i="10"/>
  <c r="AE21" i="10"/>
  <c r="R51" i="10"/>
  <c r="AQ51" i="10" s="1"/>
  <c r="AV51" i="10" s="1"/>
  <c r="Y51" i="10"/>
  <c r="AE51" i="10"/>
  <c r="AD57" i="10"/>
  <c r="AC99" i="10"/>
  <c r="Y75" i="10"/>
  <c r="AA104" i="10"/>
  <c r="I79" i="10"/>
  <c r="V64" i="10"/>
  <c r="AU64" i="10" s="1"/>
  <c r="K21" i="10"/>
  <c r="O21" i="10"/>
  <c r="BC21" i="10" s="1"/>
  <c r="W21" i="10"/>
  <c r="AD21" i="10"/>
  <c r="K51" i="10"/>
  <c r="O51" i="10"/>
  <c r="BC51" i="10" s="1"/>
  <c r="W51" i="10"/>
  <c r="AD51" i="10"/>
  <c r="W23" i="10"/>
  <c r="AF85" i="10"/>
  <c r="K96" i="10"/>
  <c r="W104" i="10"/>
  <c r="X42" i="10"/>
  <c r="BE58" i="10"/>
  <c r="Q45" i="10"/>
  <c r="BE45" i="10" s="1"/>
  <c r="AC45" i="10"/>
  <c r="K11" i="10"/>
  <c r="Q89" i="10"/>
  <c r="BE89" i="10" s="1"/>
  <c r="AE12" i="10"/>
  <c r="Y90" i="10"/>
  <c r="S91" i="10"/>
  <c r="AR91" i="10" s="1"/>
  <c r="AW91" i="10" s="1"/>
  <c r="Y67" i="10"/>
  <c r="W92" i="10"/>
  <c r="Q13" i="10"/>
  <c r="BE13" i="10" s="1"/>
  <c r="N15" i="10"/>
  <c r="BB15" i="10" s="1"/>
  <c r="Z15" i="10"/>
  <c r="K17" i="10"/>
  <c r="S17" i="10"/>
  <c r="AR17" i="10" s="1"/>
  <c r="AW17" i="10" s="1"/>
  <c r="AD17" i="10"/>
  <c r="K19" i="10"/>
  <c r="AE19" i="10"/>
  <c r="N21" i="10"/>
  <c r="BB21" i="10" s="1"/>
  <c r="U21" i="10"/>
  <c r="AT21" i="10" s="1"/>
  <c r="AY21" i="10" s="1"/>
  <c r="AC21" i="10"/>
  <c r="AB69" i="10"/>
  <c r="O83" i="10"/>
  <c r="BC83" i="10" s="1"/>
  <c r="N51" i="10"/>
  <c r="BB51" i="10" s="1"/>
  <c r="U51" i="10"/>
  <c r="AT51" i="10" s="1"/>
  <c r="AY51" i="10" s="1"/>
  <c r="AC51" i="10"/>
  <c r="K52" i="10"/>
  <c r="M93" i="10"/>
  <c r="BA93" i="10" s="1"/>
  <c r="S93" i="10"/>
  <c r="AR93" i="10" s="1"/>
  <c r="AW93" i="10" s="1"/>
  <c r="Z93" i="10"/>
  <c r="M70" i="10"/>
  <c r="BA70" i="10" s="1"/>
  <c r="Q94" i="10"/>
  <c r="BE94" i="10" s="1"/>
  <c r="M71" i="10"/>
  <c r="BA71" i="10" s="1"/>
  <c r="M84" i="10"/>
  <c r="BA84" i="10" s="1"/>
  <c r="W84" i="10"/>
  <c r="M26" i="10"/>
  <c r="BA26" i="10" s="1"/>
  <c r="T27" i="10"/>
  <c r="AS27" i="10" s="1"/>
  <c r="AD27" i="10"/>
  <c r="M30" i="10"/>
  <c r="BA30" i="10" s="1"/>
  <c r="Y30" i="10"/>
  <c r="R56" i="10"/>
  <c r="AQ56" i="10" s="1"/>
  <c r="O57" i="10"/>
  <c r="BC57" i="10" s="1"/>
  <c r="X57" i="10"/>
  <c r="R34" i="10"/>
  <c r="AQ34" i="10" s="1"/>
  <c r="Y34" i="10"/>
  <c r="AE34" i="10"/>
  <c r="R99" i="10"/>
  <c r="AQ99" i="10" s="1"/>
  <c r="Z38" i="10"/>
  <c r="Q104" i="10"/>
  <c r="BE104" i="10" s="1"/>
  <c r="AB39" i="10"/>
  <c r="K42" i="10"/>
  <c r="U42" i="10"/>
  <c r="AT42" i="10" s="1"/>
  <c r="AY42" i="10" s="1"/>
  <c r="R59" i="10"/>
  <c r="AQ59" i="10" s="1"/>
  <c r="AV59" i="10" s="1"/>
  <c r="AE59" i="10"/>
  <c r="CC100" i="10"/>
  <c r="CB100" i="10"/>
  <c r="CC31" i="10"/>
  <c r="CB31" i="10"/>
  <c r="CC35" i="10"/>
  <c r="CB35" i="10"/>
  <c r="CC96" i="10"/>
  <c r="CB96" i="10"/>
  <c r="CC58" i="10"/>
  <c r="CB58" i="10"/>
  <c r="CC28" i="10"/>
  <c r="CB28" i="10"/>
  <c r="CC61" i="10"/>
  <c r="CB61" i="10"/>
  <c r="AF47" i="10"/>
  <c r="Y47" i="10"/>
  <c r="Q47" i="10"/>
  <c r="BE47" i="10" s="1"/>
  <c r="AD47" i="10"/>
  <c r="V47" i="10"/>
  <c r="AU47" i="10" s="1"/>
  <c r="AZ47" i="10" s="1"/>
  <c r="BJ47" i="10" s="1"/>
  <c r="N47" i="10"/>
  <c r="BB47" i="10" s="1"/>
  <c r="AC47" i="10"/>
  <c r="U47" i="10"/>
  <c r="AT47" i="10" s="1"/>
  <c r="M47" i="10"/>
  <c r="BA47" i="10" s="1"/>
  <c r="AF46" i="10"/>
  <c r="Y46" i="10"/>
  <c r="Q46" i="10"/>
  <c r="BE46" i="10" s="1"/>
  <c r="V46" i="10"/>
  <c r="AU46" i="10" s="1"/>
  <c r="AZ46" i="10" s="1"/>
  <c r="N46" i="10"/>
  <c r="BB46" i="10" s="1"/>
  <c r="M46" i="10"/>
  <c r="BA46" i="10" s="1"/>
  <c r="AD46" i="10"/>
  <c r="AC46" i="10"/>
  <c r="U46" i="10"/>
  <c r="AT46" i="10" s="1"/>
  <c r="R47" i="10"/>
  <c r="AQ47" i="10" s="1"/>
  <c r="AV47" i="10" s="1"/>
  <c r="AF82" i="10"/>
  <c r="Y82" i="10"/>
  <c r="Q82" i="10"/>
  <c r="BE82" i="10" s="1"/>
  <c r="AC82" i="10"/>
  <c r="M82" i="10"/>
  <c r="BA82" i="10" s="1"/>
  <c r="AD82" i="10"/>
  <c r="V82" i="10"/>
  <c r="AU82" i="10" s="1"/>
  <c r="AZ82" i="10" s="1"/>
  <c r="N82" i="10"/>
  <c r="BB82" i="10" s="1"/>
  <c r="U82" i="10"/>
  <c r="AT82" i="10" s="1"/>
  <c r="AF16" i="10"/>
  <c r="AC16" i="10"/>
  <c r="S16" i="10"/>
  <c r="Y16" i="10"/>
  <c r="O16" i="10"/>
  <c r="BC16" i="10" s="1"/>
  <c r="X16" i="10"/>
  <c r="M16" i="10"/>
  <c r="BA16" i="10" s="1"/>
  <c r="AF10" i="10"/>
  <c r="Y10" i="10"/>
  <c r="Q10" i="10"/>
  <c r="BE10" i="10" s="1"/>
  <c r="AD10" i="10"/>
  <c r="V10" i="10"/>
  <c r="AU10" i="10" s="1"/>
  <c r="AZ10" i="10" s="1"/>
  <c r="BJ10" i="10" s="1"/>
  <c r="N10" i="10"/>
  <c r="BB10" i="10" s="1"/>
  <c r="M10" i="10"/>
  <c r="BA10" i="10" s="1"/>
  <c r="AC10" i="10"/>
  <c r="U10" i="10"/>
  <c r="AT10" i="10" s="1"/>
  <c r="BN10" i="10" s="1"/>
  <c r="Z47" i="10"/>
  <c r="AB14" i="10"/>
  <c r="V14" i="10"/>
  <c r="AU14" i="10" s="1"/>
  <c r="AZ14" i="10" s="1"/>
  <c r="Q14" i="10"/>
  <c r="BE14" i="10" s="1"/>
  <c r="AB18" i="10"/>
  <c r="W18" i="10"/>
  <c r="Q18" i="10"/>
  <c r="BE18" i="10" s="1"/>
  <c r="AD68" i="10"/>
  <c r="W68" i="10"/>
  <c r="K68" i="10"/>
  <c r="S68" i="10"/>
  <c r="AR68" i="10" s="1"/>
  <c r="AW68" i="10" s="1"/>
  <c r="AE68" i="10"/>
  <c r="O68" i="10"/>
  <c r="BC68" i="10" s="1"/>
  <c r="R10" i="10"/>
  <c r="AQ10" i="10" s="1"/>
  <c r="AV10" i="10" s="1"/>
  <c r="V49" i="10"/>
  <c r="AF33" i="10"/>
  <c r="AD33" i="10"/>
  <c r="Y33" i="10"/>
  <c r="S33" i="10"/>
  <c r="AR33" i="10" s="1"/>
  <c r="AW33" i="10" s="1"/>
  <c r="N33" i="10"/>
  <c r="BB33" i="10" s="1"/>
  <c r="AC33" i="10"/>
  <c r="W33" i="10"/>
  <c r="R33" i="10"/>
  <c r="AQ33" i="10" s="1"/>
  <c r="M33" i="10"/>
  <c r="BA33" i="10" s="1"/>
  <c r="AE33" i="10"/>
  <c r="Z33" i="10"/>
  <c r="U33" i="10"/>
  <c r="AT33" i="10" s="1"/>
  <c r="O33" i="10"/>
  <c r="BC33" i="10" s="1"/>
  <c r="K33" i="10"/>
  <c r="AA11" i="10"/>
  <c r="M49" i="10"/>
  <c r="BA49" i="10" s="1"/>
  <c r="R49" i="10"/>
  <c r="AQ49" i="10" s="1"/>
  <c r="AV49" i="10" s="1"/>
  <c r="W49" i="10"/>
  <c r="AC49" i="10"/>
  <c r="S19" i="10"/>
  <c r="Z19" i="10"/>
  <c r="AF19" i="10"/>
  <c r="Q83" i="10"/>
  <c r="BE83" i="10" s="1"/>
  <c r="V83" i="10"/>
  <c r="AU83" i="10" s="1"/>
  <c r="AA83" i="10"/>
  <c r="AF52" i="10"/>
  <c r="AC52" i="10"/>
  <c r="W52" i="10"/>
  <c r="R52" i="10"/>
  <c r="AQ52" i="10" s="1"/>
  <c r="AV52" i="10" s="1"/>
  <c r="M52" i="10"/>
  <c r="BA52" i="10" s="1"/>
  <c r="S52" i="10"/>
  <c r="AR52" i="10" s="1"/>
  <c r="Z52" i="10"/>
  <c r="Q95" i="10"/>
  <c r="BE95" i="10" s="1"/>
  <c r="AF24" i="10"/>
  <c r="AC24" i="10"/>
  <c r="W24" i="10"/>
  <c r="R24" i="10"/>
  <c r="AQ24" i="10" s="1"/>
  <c r="AV24" i="10" s="1"/>
  <c r="M24" i="10"/>
  <c r="BA24" i="10" s="1"/>
  <c r="AD24" i="10"/>
  <c r="Y24" i="10"/>
  <c r="S24" i="10"/>
  <c r="AR24" i="10" s="1"/>
  <c r="AW24" i="10" s="1"/>
  <c r="N24" i="10"/>
  <c r="BB24" i="10" s="1"/>
  <c r="V24" i="10"/>
  <c r="S72" i="10"/>
  <c r="N55" i="10"/>
  <c r="BB55" i="10" s="1"/>
  <c r="V73" i="10"/>
  <c r="AU73" i="10" s="1"/>
  <c r="AZ73" i="10" s="1"/>
  <c r="U73" i="10"/>
  <c r="AT73" i="10" s="1"/>
  <c r="AY73" i="10" s="1"/>
  <c r="AF73" i="10"/>
  <c r="Q33" i="10"/>
  <c r="BE33" i="10" s="1"/>
  <c r="AF36" i="10"/>
  <c r="AC36" i="10"/>
  <c r="S36" i="10"/>
  <c r="AR36" i="10" s="1"/>
  <c r="AE36" i="10"/>
  <c r="O36" i="10"/>
  <c r="BC36" i="10" s="1"/>
  <c r="Y36" i="10"/>
  <c r="M36" i="10"/>
  <c r="BA36" i="10" s="1"/>
  <c r="T36" i="10"/>
  <c r="AS36" i="10" s="1"/>
  <c r="AX36" i="10" s="1"/>
  <c r="BB60" i="10"/>
  <c r="Q49" i="10"/>
  <c r="BE49" i="10" s="1"/>
  <c r="AA49" i="10"/>
  <c r="AJ79" i="10"/>
  <c r="AA81" i="10"/>
  <c r="AA9" i="10"/>
  <c r="AA66" i="10"/>
  <c r="L79" i="10"/>
  <c r="AB79" i="10" s="1"/>
  <c r="V8" i="10"/>
  <c r="AU8" i="10" s="1"/>
  <c r="AZ8" i="10" s="1"/>
  <c r="BJ8" i="10" s="1"/>
  <c r="Z64" i="10"/>
  <c r="O11" i="10"/>
  <c r="BC11" i="10" s="1"/>
  <c r="Z89" i="10"/>
  <c r="R67" i="10"/>
  <c r="AQ67" i="10" s="1"/>
  <c r="AV67" i="10" s="1"/>
  <c r="Z67" i="10"/>
  <c r="AA92" i="10"/>
  <c r="R13" i="10"/>
  <c r="AQ13" i="10" s="1"/>
  <c r="AV13" i="10" s="1"/>
  <c r="BF13" i="10" s="1"/>
  <c r="AA13" i="10"/>
  <c r="Q17" i="10"/>
  <c r="BE17" i="10" s="1"/>
  <c r="V17" i="10"/>
  <c r="AU17" i="10" s="1"/>
  <c r="AZ17" i="10" s="1"/>
  <c r="BJ17" i="10" s="1"/>
  <c r="AA17" i="10"/>
  <c r="N49" i="10"/>
  <c r="BB49" i="10" s="1"/>
  <c r="S49" i="10"/>
  <c r="AR49" i="10" s="1"/>
  <c r="AW49" i="10" s="1"/>
  <c r="Y49" i="10"/>
  <c r="AD49" i="10"/>
  <c r="N19" i="10"/>
  <c r="BB19" i="10" s="1"/>
  <c r="T19" i="10"/>
  <c r="AS19" i="10" s="1"/>
  <c r="AX19" i="10" s="1"/>
  <c r="BH19" i="10" s="1"/>
  <c r="AA19" i="10"/>
  <c r="R69" i="10"/>
  <c r="AQ69" i="10" s="1"/>
  <c r="BK69" i="10" s="1"/>
  <c r="Q22" i="10"/>
  <c r="BE22" i="10" s="1"/>
  <c r="M83" i="10"/>
  <c r="BA83" i="10" s="1"/>
  <c r="R83" i="10"/>
  <c r="AQ83" i="10" s="1"/>
  <c r="AV83" i="10" s="1"/>
  <c r="W83" i="10"/>
  <c r="AC83" i="10"/>
  <c r="P50" i="10"/>
  <c r="BD50" i="10" s="1"/>
  <c r="N52" i="10"/>
  <c r="BB52" i="10" s="1"/>
  <c r="U52" i="10"/>
  <c r="AT52" i="10" s="1"/>
  <c r="AA52" i="10"/>
  <c r="AF53" i="10"/>
  <c r="AD53" i="10"/>
  <c r="Y53" i="10"/>
  <c r="S53" i="10"/>
  <c r="AR53" i="10" s="1"/>
  <c r="AW53" i="10" s="1"/>
  <c r="N53" i="10"/>
  <c r="BB53" i="10" s="1"/>
  <c r="R53" i="10"/>
  <c r="AQ53" i="10" s="1"/>
  <c r="BK53" i="10" s="1"/>
  <c r="Z53" i="10"/>
  <c r="AF23" i="10"/>
  <c r="AE23" i="10"/>
  <c r="Z23" i="10"/>
  <c r="U23" i="10"/>
  <c r="AT23" i="10" s="1"/>
  <c r="AY23" i="10" s="1"/>
  <c r="O23" i="10"/>
  <c r="BC23" i="10" s="1"/>
  <c r="K23" i="10"/>
  <c r="R23" i="10"/>
  <c r="AQ23" i="10" s="1"/>
  <c r="AV23" i="10" s="1"/>
  <c r="Y23" i="10"/>
  <c r="AC54" i="10"/>
  <c r="U54" i="10"/>
  <c r="O54" i="10"/>
  <c r="BC54" i="10" s="1"/>
  <c r="AE54" i="10"/>
  <c r="X54" i="10"/>
  <c r="P54" i="10"/>
  <c r="BD54" i="10" s="1"/>
  <c r="K54" i="10"/>
  <c r="Y54" i="10"/>
  <c r="O24" i="10"/>
  <c r="BC24" i="10" s="1"/>
  <c r="Z24" i="10"/>
  <c r="AC85" i="10"/>
  <c r="U85" i="10"/>
  <c r="AT85" i="10" s="1"/>
  <c r="AY85" i="10" s="1"/>
  <c r="N85" i="10"/>
  <c r="BB85" i="10" s="1"/>
  <c r="Z85" i="10"/>
  <c r="T85" i="10"/>
  <c r="AS85" i="10" s="1"/>
  <c r="AX85" i="10" s="1"/>
  <c r="M85" i="10"/>
  <c r="BA85" i="10" s="1"/>
  <c r="AD85" i="10"/>
  <c r="X85" i="10"/>
  <c r="P85" i="10"/>
  <c r="BD85" i="10" s="1"/>
  <c r="AC86" i="10"/>
  <c r="Q86" i="10"/>
  <c r="BE86" i="10" s="1"/>
  <c r="M86" i="10"/>
  <c r="BA86" i="10" s="1"/>
  <c r="X86" i="10"/>
  <c r="AC98" i="10"/>
  <c r="U98" i="10"/>
  <c r="AT98" i="10" s="1"/>
  <c r="N98" i="10"/>
  <c r="BB98" i="10" s="1"/>
  <c r="Z98" i="10"/>
  <c r="T98" i="10"/>
  <c r="M98" i="10"/>
  <c r="BA98" i="10" s="1"/>
  <c r="AD98" i="10"/>
  <c r="X98" i="10"/>
  <c r="P98" i="10"/>
  <c r="BD98" i="10" s="1"/>
  <c r="AA31" i="10"/>
  <c r="O31" i="10"/>
  <c r="BC31" i="10" s="1"/>
  <c r="AB31" i="10"/>
  <c r="V33" i="10"/>
  <c r="AU33" i="10" s="1"/>
  <c r="AZ33" i="10" s="1"/>
  <c r="AF100" i="10"/>
  <c r="BJ100" i="10" s="1"/>
  <c r="AD100" i="10"/>
  <c r="Y100" i="10"/>
  <c r="S100" i="10"/>
  <c r="AR100" i="10" s="1"/>
  <c r="AW100" i="10" s="1"/>
  <c r="N100" i="10"/>
  <c r="BB100" i="10" s="1"/>
  <c r="AC100" i="10"/>
  <c r="W100" i="10"/>
  <c r="R100" i="10"/>
  <c r="AQ100" i="10" s="1"/>
  <c r="AV100" i="10" s="1"/>
  <c r="M100" i="10"/>
  <c r="BA100" i="10" s="1"/>
  <c r="AE100" i="10"/>
  <c r="Z100" i="10"/>
  <c r="U100" i="10"/>
  <c r="AT100" i="10" s="1"/>
  <c r="O100" i="10"/>
  <c r="BC100" i="10" s="1"/>
  <c r="K100" i="10"/>
  <c r="AF35" i="10"/>
  <c r="X35" i="10"/>
  <c r="M35" i="10"/>
  <c r="BA35" i="10" s="1"/>
  <c r="AE35" i="10"/>
  <c r="S35" i="10"/>
  <c r="AR35" i="10" s="1"/>
  <c r="AW35" i="10" s="1"/>
  <c r="AC35" i="10"/>
  <c r="O35" i="10"/>
  <c r="BC35" i="10" s="1"/>
  <c r="T35" i="10"/>
  <c r="AS35" i="10" s="1"/>
  <c r="AX35" i="10" s="1"/>
  <c r="X36" i="10"/>
  <c r="AB95" i="10"/>
  <c r="P95" i="10"/>
  <c r="BD95" i="10" s="1"/>
  <c r="AF95" i="10"/>
  <c r="AF72" i="10"/>
  <c r="X72" i="10"/>
  <c r="M72" i="10"/>
  <c r="BA72" i="10" s="1"/>
  <c r="Y72" i="10"/>
  <c r="O72" i="10"/>
  <c r="BC72" i="10" s="1"/>
  <c r="AE72" i="10"/>
  <c r="AD55" i="10"/>
  <c r="R55" i="10"/>
  <c r="AQ55" i="10" s="1"/>
  <c r="AV55" i="10" s="1"/>
  <c r="BF55" i="10" s="1"/>
  <c r="X55" i="10"/>
  <c r="Q8" i="10"/>
  <c r="BE8" i="10" s="1"/>
  <c r="AA8" i="10"/>
  <c r="AI80" i="10"/>
  <c r="R64" i="10"/>
  <c r="O81" i="10"/>
  <c r="BC81" i="10" s="1"/>
  <c r="AE81" i="10"/>
  <c r="O9" i="10"/>
  <c r="BC9" i="10" s="1"/>
  <c r="AE9" i="10"/>
  <c r="AE11" i="10"/>
  <c r="R89" i="10"/>
  <c r="AQ89" i="10" s="1"/>
  <c r="AV89" i="10" s="1"/>
  <c r="O66" i="10"/>
  <c r="BC66" i="10" s="1"/>
  <c r="AE66" i="10"/>
  <c r="R90" i="10"/>
  <c r="AQ90" i="10" s="1"/>
  <c r="AV90" i="10" s="1"/>
  <c r="Z90" i="10"/>
  <c r="H79" i="10"/>
  <c r="M8" i="10"/>
  <c r="BA8" i="10" s="1"/>
  <c r="R8" i="10"/>
  <c r="AQ8" i="10" s="1"/>
  <c r="W8" i="10"/>
  <c r="AC8" i="10"/>
  <c r="AJ80" i="10"/>
  <c r="M64" i="10"/>
  <c r="BA64" i="10" s="1"/>
  <c r="U64" i="10"/>
  <c r="AT64" i="10" s="1"/>
  <c r="AC64" i="10"/>
  <c r="S81" i="10"/>
  <c r="AR81" i="10" s="1"/>
  <c r="AW81" i="10" s="1"/>
  <c r="S9" i="10"/>
  <c r="AR9" i="10" s="1"/>
  <c r="AW9" i="10" s="1"/>
  <c r="R45" i="10"/>
  <c r="AQ45" i="10" s="1"/>
  <c r="AV45" i="10" s="1"/>
  <c r="Z45" i="10"/>
  <c r="S11" i="10"/>
  <c r="AR11" i="10" s="1"/>
  <c r="M89" i="10"/>
  <c r="BA89" i="10" s="1"/>
  <c r="U89" i="10"/>
  <c r="AT89" i="10" s="1"/>
  <c r="AY89" i="10" s="1"/>
  <c r="AC89" i="10"/>
  <c r="AA12" i="10"/>
  <c r="S66" i="10"/>
  <c r="AR66" i="10" s="1"/>
  <c r="AW66" i="10" s="1"/>
  <c r="M90" i="10"/>
  <c r="BA90" i="10" s="1"/>
  <c r="U90" i="10"/>
  <c r="AT90" i="10" s="1"/>
  <c r="AY90" i="10" s="1"/>
  <c r="AC90" i="10"/>
  <c r="AA91" i="10"/>
  <c r="M67" i="10"/>
  <c r="BA67" i="10" s="1"/>
  <c r="U67" i="10"/>
  <c r="AT67" i="10" s="1"/>
  <c r="BN67" i="10" s="1"/>
  <c r="AC67" i="10"/>
  <c r="O92" i="10"/>
  <c r="BC92" i="10" s="1"/>
  <c r="AE92" i="10"/>
  <c r="M13" i="10"/>
  <c r="BA13" i="10" s="1"/>
  <c r="U13" i="10"/>
  <c r="AT13" i="10" s="1"/>
  <c r="AE13" i="10"/>
  <c r="T15" i="10"/>
  <c r="AS15" i="10" s="1"/>
  <c r="AX15" i="10" s="1"/>
  <c r="AE15" i="10"/>
  <c r="M17" i="10"/>
  <c r="BA17" i="10" s="1"/>
  <c r="R17" i="10"/>
  <c r="AQ17" i="10" s="1"/>
  <c r="W17" i="10"/>
  <c r="AC17" i="10"/>
  <c r="K49" i="10"/>
  <c r="O49" i="10"/>
  <c r="BC49" i="10" s="1"/>
  <c r="U49" i="10"/>
  <c r="AT49" i="10" s="1"/>
  <c r="Z49" i="10"/>
  <c r="AE49" i="10"/>
  <c r="O19" i="10"/>
  <c r="BC19" i="10" s="1"/>
  <c r="V19" i="10"/>
  <c r="AU19" i="10" s="1"/>
  <c r="AZ19" i="10" s="1"/>
  <c r="Q21" i="10"/>
  <c r="BE21" i="10" s="1"/>
  <c r="V21" i="10"/>
  <c r="AA21" i="10"/>
  <c r="N83" i="10"/>
  <c r="BB83" i="10" s="1"/>
  <c r="S83" i="10"/>
  <c r="AR83" i="10" s="1"/>
  <c r="AW83" i="10" s="1"/>
  <c r="Y83" i="10"/>
  <c r="AD83" i="10"/>
  <c r="O52" i="10"/>
  <c r="BC52" i="10" s="1"/>
  <c r="V52" i="10"/>
  <c r="AD52" i="10"/>
  <c r="M53" i="10"/>
  <c r="BA53" i="10" s="1"/>
  <c r="U53" i="10"/>
  <c r="AT53" i="10" s="1"/>
  <c r="AA53" i="10"/>
  <c r="M23" i="10"/>
  <c r="BA23" i="10" s="1"/>
  <c r="S23" i="10"/>
  <c r="AR23" i="10" s="1"/>
  <c r="AW23" i="10" s="1"/>
  <c r="AA23" i="10"/>
  <c r="K95" i="10"/>
  <c r="AA95" i="10"/>
  <c r="AF71" i="10"/>
  <c r="AD71" i="10"/>
  <c r="Y71" i="10"/>
  <c r="S71" i="10"/>
  <c r="AR71" i="10" s="1"/>
  <c r="AW71" i="10" s="1"/>
  <c r="N71" i="10"/>
  <c r="BB71" i="10" s="1"/>
  <c r="AE71" i="10"/>
  <c r="Z71" i="10"/>
  <c r="U71" i="10"/>
  <c r="AT71" i="10" s="1"/>
  <c r="O71" i="10"/>
  <c r="BC71" i="10" s="1"/>
  <c r="K71" i="10"/>
  <c r="V71" i="10"/>
  <c r="AU71" i="10" s="1"/>
  <c r="AZ71" i="10" s="1"/>
  <c r="M54" i="10"/>
  <c r="BA54" i="10" s="1"/>
  <c r="AA54" i="10"/>
  <c r="Q24" i="10"/>
  <c r="BE24" i="10" s="1"/>
  <c r="AA24" i="10"/>
  <c r="AC72" i="10"/>
  <c r="AF28" i="10"/>
  <c r="Z28" i="10"/>
  <c r="O28" i="10"/>
  <c r="BC28" i="10" s="1"/>
  <c r="X28" i="10"/>
  <c r="N28" i="10"/>
  <c r="BB28" i="10" s="1"/>
  <c r="AD28" i="10"/>
  <c r="S28" i="10"/>
  <c r="AR28" i="10" s="1"/>
  <c r="AW28" i="10" s="1"/>
  <c r="Y32" i="10"/>
  <c r="X32" i="10"/>
  <c r="AA33" i="10"/>
  <c r="AF37" i="10"/>
  <c r="AC37" i="10"/>
  <c r="W37" i="10"/>
  <c r="R37" i="10"/>
  <c r="AQ37" i="10" s="1"/>
  <c r="M37" i="10"/>
  <c r="BA37" i="10" s="1"/>
  <c r="AD37" i="10"/>
  <c r="V37" i="10"/>
  <c r="AU37" i="10" s="1"/>
  <c r="AZ37" i="10" s="1"/>
  <c r="O37" i="10"/>
  <c r="BC37" i="10" s="1"/>
  <c r="AA37" i="10"/>
  <c r="U37" i="10"/>
  <c r="N37" i="10"/>
  <c r="BB37" i="10" s="1"/>
  <c r="AE37" i="10"/>
  <c r="Y37" i="10"/>
  <c r="Q37" i="10"/>
  <c r="BE37" i="10" s="1"/>
  <c r="K37" i="10"/>
  <c r="Q84" i="10"/>
  <c r="BE84" i="10" s="1"/>
  <c r="V84" i="10"/>
  <c r="AU84" i="10" s="1"/>
  <c r="AZ84" i="10" s="1"/>
  <c r="BJ84" i="10" s="1"/>
  <c r="AA84" i="10"/>
  <c r="AB25" i="10"/>
  <c r="R96" i="10"/>
  <c r="AQ96" i="10" s="1"/>
  <c r="AV96" i="10" s="1"/>
  <c r="BF96" i="10" s="1"/>
  <c r="AF96" i="10"/>
  <c r="T26" i="10"/>
  <c r="AS26" i="10" s="1"/>
  <c r="AX26" i="10" s="1"/>
  <c r="AD26" i="10"/>
  <c r="N56" i="10"/>
  <c r="BB56" i="10" s="1"/>
  <c r="Y56" i="10"/>
  <c r="T74" i="10"/>
  <c r="AE74" i="10"/>
  <c r="Q99" i="10"/>
  <c r="BE99" i="10" s="1"/>
  <c r="V99" i="10"/>
  <c r="AA99" i="10"/>
  <c r="AF103" i="10"/>
  <c r="AD103" i="10"/>
  <c r="Y103" i="10"/>
  <c r="S103" i="10"/>
  <c r="AR103" i="10" s="1"/>
  <c r="AW103" i="10" s="1"/>
  <c r="N103" i="10"/>
  <c r="BB103" i="10" s="1"/>
  <c r="AC103" i="10"/>
  <c r="W103" i="10"/>
  <c r="R103" i="10"/>
  <c r="AQ103" i="10" s="1"/>
  <c r="AV103" i="10" s="1"/>
  <c r="M103" i="10"/>
  <c r="BA103" i="10" s="1"/>
  <c r="V103" i="10"/>
  <c r="AU103" i="10" s="1"/>
  <c r="AZ103" i="10" s="1"/>
  <c r="AC76" i="10"/>
  <c r="U76" i="10"/>
  <c r="AT76" i="10" s="1"/>
  <c r="AY76" i="10" s="1"/>
  <c r="BI76" i="10" s="1"/>
  <c r="O76" i="10"/>
  <c r="BC76" i="10" s="1"/>
  <c r="AA76" i="10"/>
  <c r="T76" i="10"/>
  <c r="AS76" i="10" s="1"/>
  <c r="M76" i="10"/>
  <c r="BA76" i="10" s="1"/>
  <c r="Y76" i="10"/>
  <c r="AF41" i="10"/>
  <c r="AD41" i="10"/>
  <c r="Y41" i="10"/>
  <c r="S41" i="10"/>
  <c r="AR41" i="10" s="1"/>
  <c r="AW41" i="10" s="1"/>
  <c r="N41" i="10"/>
  <c r="BB41" i="10" s="1"/>
  <c r="AC41" i="10"/>
  <c r="W41" i="10"/>
  <c r="R41" i="10"/>
  <c r="AQ41" i="10" s="1"/>
  <c r="AV41" i="10" s="1"/>
  <c r="M41" i="10"/>
  <c r="BA41" i="10" s="1"/>
  <c r="V41" i="10"/>
  <c r="AU41" i="10" s="1"/>
  <c r="X58" i="10"/>
  <c r="AF58" i="10"/>
  <c r="R58" i="10"/>
  <c r="AQ58" i="10" s="1"/>
  <c r="AF60" i="10"/>
  <c r="U60" i="10"/>
  <c r="AD60" i="10"/>
  <c r="P60" i="10"/>
  <c r="BD60" i="10" s="1"/>
  <c r="AA96" i="10"/>
  <c r="T56" i="10"/>
  <c r="AS56" i="10" s="1"/>
  <c r="AD56" i="10"/>
  <c r="O74" i="10"/>
  <c r="BC74" i="10" s="1"/>
  <c r="Y74" i="10"/>
  <c r="N99" i="10"/>
  <c r="BB99" i="10" s="1"/>
  <c r="S99" i="10"/>
  <c r="AR99" i="10" s="1"/>
  <c r="AW99" i="10" s="1"/>
  <c r="Y99" i="10"/>
  <c r="AD99" i="10"/>
  <c r="AE75" i="10"/>
  <c r="X75" i="10"/>
  <c r="S75" i="10"/>
  <c r="AR75" i="10" s="1"/>
  <c r="AW75" i="10" s="1"/>
  <c r="AA75" i="10"/>
  <c r="AF101" i="10"/>
  <c r="AC101" i="10"/>
  <c r="W101" i="10"/>
  <c r="R101" i="10"/>
  <c r="AQ101" i="10" s="1"/>
  <c r="AV101" i="10" s="1"/>
  <c r="M101" i="10"/>
  <c r="BA101" i="10" s="1"/>
  <c r="S101" i="10"/>
  <c r="AR101" i="10" s="1"/>
  <c r="AW101" i="10" s="1"/>
  <c r="BG101" i="10" s="1"/>
  <c r="Z101" i="10"/>
  <c r="K38" i="10"/>
  <c r="Q38" i="10"/>
  <c r="BE38" i="10" s="1"/>
  <c r="W102" i="10"/>
  <c r="U102" i="10"/>
  <c r="AT102" i="10" s="1"/>
  <c r="AY102" i="10" s="1"/>
  <c r="Q103" i="10"/>
  <c r="BE103" i="10" s="1"/>
  <c r="AA103" i="10"/>
  <c r="S76" i="10"/>
  <c r="AR76" i="10" s="1"/>
  <c r="AW76" i="10" s="1"/>
  <c r="AF76" i="10"/>
  <c r="R104" i="10"/>
  <c r="AQ104" i="10" s="1"/>
  <c r="Q41" i="10"/>
  <c r="BE41" i="10" s="1"/>
  <c r="AA41" i="10"/>
  <c r="V60" i="10"/>
  <c r="AU60" i="10" s="1"/>
  <c r="AZ60" i="10" s="1"/>
  <c r="Q51" i="10"/>
  <c r="BE51" i="10" s="1"/>
  <c r="V51" i="10"/>
  <c r="AU51" i="10" s="1"/>
  <c r="AA51" i="10"/>
  <c r="Q93" i="10"/>
  <c r="BE93" i="10" s="1"/>
  <c r="V93" i="10"/>
  <c r="AA93" i="10"/>
  <c r="X70" i="10"/>
  <c r="AB94" i="10"/>
  <c r="K84" i="10"/>
  <c r="O84" i="10"/>
  <c r="BC84" i="10" s="1"/>
  <c r="U84" i="10"/>
  <c r="AT84" i="10" s="1"/>
  <c r="Z84" i="10"/>
  <c r="AE84" i="10"/>
  <c r="Z25" i="10"/>
  <c r="P96" i="10"/>
  <c r="BD96" i="10" s="1"/>
  <c r="R26" i="10"/>
  <c r="AQ26" i="10" s="1"/>
  <c r="AV26" i="10" s="1"/>
  <c r="AC26" i="10"/>
  <c r="S27" i="10"/>
  <c r="Z27" i="10"/>
  <c r="T30" i="10"/>
  <c r="AD30" i="10"/>
  <c r="M56" i="10"/>
  <c r="BA56" i="10" s="1"/>
  <c r="X56" i="10"/>
  <c r="S57" i="10"/>
  <c r="AR57" i="10" s="1"/>
  <c r="AW57" i="10" s="1"/>
  <c r="Z57" i="10"/>
  <c r="Q34" i="10"/>
  <c r="BE34" i="10" s="1"/>
  <c r="V34" i="10"/>
  <c r="AU34" i="10" s="1"/>
  <c r="AA34" i="10"/>
  <c r="S74" i="10"/>
  <c r="AR74" i="10" s="1"/>
  <c r="AW74" i="10" s="1"/>
  <c r="AC74" i="10"/>
  <c r="K99" i="10"/>
  <c r="O99" i="10"/>
  <c r="BC99" i="10" s="1"/>
  <c r="U99" i="10"/>
  <c r="AT99" i="10" s="1"/>
  <c r="AY99" i="10" s="1"/>
  <c r="Z99" i="10"/>
  <c r="AE99" i="10"/>
  <c r="M75" i="10"/>
  <c r="BA75" i="10" s="1"/>
  <c r="T75" i="10"/>
  <c r="AS75" i="10" s="1"/>
  <c r="AC75" i="10"/>
  <c r="N101" i="10"/>
  <c r="BB101" i="10" s="1"/>
  <c r="U101" i="10"/>
  <c r="AT101" i="10" s="1"/>
  <c r="AY101" i="10" s="1"/>
  <c r="AA101" i="10"/>
  <c r="AF38" i="10"/>
  <c r="AD38" i="10"/>
  <c r="Y38" i="10"/>
  <c r="S38" i="10"/>
  <c r="AR38" i="10" s="1"/>
  <c r="N38" i="10"/>
  <c r="BB38" i="10" s="1"/>
  <c r="AC38" i="10"/>
  <c r="W38" i="10"/>
  <c r="R38" i="10"/>
  <c r="AQ38" i="10" s="1"/>
  <c r="U38" i="10"/>
  <c r="AT38" i="10" s="1"/>
  <c r="AY38" i="10" s="1"/>
  <c r="AE38" i="10"/>
  <c r="K103" i="10"/>
  <c r="U103" i="10"/>
  <c r="AT103" i="10" s="1"/>
  <c r="BN103" i="10" s="1"/>
  <c r="AE103" i="10"/>
  <c r="K76" i="10"/>
  <c r="X76" i="10"/>
  <c r="AF104" i="10"/>
  <c r="AE104" i="10"/>
  <c r="Z104" i="10"/>
  <c r="U104" i="10"/>
  <c r="O104" i="10"/>
  <c r="BC104" i="10" s="1"/>
  <c r="K104" i="10"/>
  <c r="AD104" i="10"/>
  <c r="Y104" i="10"/>
  <c r="S104" i="10"/>
  <c r="AR104" i="10" s="1"/>
  <c r="AW104" i="10" s="1"/>
  <c r="BG104" i="10" s="1"/>
  <c r="N104" i="10"/>
  <c r="BB104" i="10" s="1"/>
  <c r="V104" i="10"/>
  <c r="AU104" i="10" s="1"/>
  <c r="AZ104" i="10" s="1"/>
  <c r="K41" i="10"/>
  <c r="U41" i="10"/>
  <c r="AT41" i="10" s="1"/>
  <c r="BN41" i="10" s="1"/>
  <c r="AE41" i="10"/>
  <c r="AB60" i="10"/>
  <c r="AS39" i="10"/>
  <c r="AX39" i="10" s="1"/>
  <c r="S42" i="10"/>
  <c r="AR42" i="10" s="1"/>
  <c r="AW42" i="10" s="1"/>
  <c r="Y42" i="10"/>
  <c r="AF42" i="10"/>
  <c r="M39" i="10"/>
  <c r="BA39" i="10" s="1"/>
  <c r="M42" i="10"/>
  <c r="BA42" i="10" s="1"/>
  <c r="T42" i="10"/>
  <c r="AS42" i="10" s="1"/>
  <c r="BM42" i="10" s="1"/>
  <c r="T59" i="10"/>
  <c r="AS59" i="10" s="1"/>
  <c r="AX59" i="10" s="1"/>
  <c r="BH59" i="10" s="1"/>
  <c r="BW55" i="10"/>
  <c r="BX55" i="10" s="1"/>
  <c r="BY55" i="10" s="1"/>
  <c r="BZ55" i="10" s="1"/>
  <c r="CA55" i="10" s="1"/>
  <c r="DI55" i="10" s="1"/>
  <c r="AD48" i="10"/>
  <c r="Z48" i="10"/>
  <c r="V48" i="10"/>
  <c r="R48" i="10"/>
  <c r="N48" i="10"/>
  <c r="BB48" i="10" s="1"/>
  <c r="AF48" i="10"/>
  <c r="AA48" i="10"/>
  <c r="U48" i="10"/>
  <c r="P48" i="10"/>
  <c r="BD48" i="10" s="1"/>
  <c r="K48" i="10"/>
  <c r="X48" i="10"/>
  <c r="S48" i="10"/>
  <c r="AE48" i="10"/>
  <c r="Y48" i="10"/>
  <c r="T48" i="10"/>
  <c r="O48" i="10"/>
  <c r="BC48" i="10" s="1"/>
  <c r="AC48" i="10"/>
  <c r="M48" i="10"/>
  <c r="BA48" i="10" s="1"/>
  <c r="AE20" i="10"/>
  <c r="AA20" i="10"/>
  <c r="W20" i="10"/>
  <c r="S20" i="10"/>
  <c r="O20" i="10"/>
  <c r="BC20" i="10" s="1"/>
  <c r="K20" i="10"/>
  <c r="AF20" i="10"/>
  <c r="Z20" i="10"/>
  <c r="U20" i="10"/>
  <c r="P20" i="10"/>
  <c r="BD20" i="10" s="1"/>
  <c r="R20" i="10"/>
  <c r="AD20" i="10"/>
  <c r="Y20" i="10"/>
  <c r="T20" i="10"/>
  <c r="N20" i="10"/>
  <c r="BB20" i="10" s="1"/>
  <c r="AC20" i="10"/>
  <c r="X20" i="10"/>
  <c r="M20" i="10"/>
  <c r="BA20" i="10" s="1"/>
  <c r="AT50" i="10"/>
  <c r="AY50" i="10" s="1"/>
  <c r="AE14" i="10"/>
  <c r="AA14" i="10"/>
  <c r="W14" i="10"/>
  <c r="S14" i="10"/>
  <c r="O14" i="10"/>
  <c r="BC14" i="10" s="1"/>
  <c r="K14" i="10"/>
  <c r="AF14" i="10"/>
  <c r="Z14" i="10"/>
  <c r="U14" i="10"/>
  <c r="P14" i="10"/>
  <c r="BD14" i="10" s="1"/>
  <c r="AC14" i="10"/>
  <c r="X14" i="10"/>
  <c r="M14" i="10"/>
  <c r="BA14" i="10" s="1"/>
  <c r="AD14" i="10"/>
  <c r="Y14" i="10"/>
  <c r="T14" i="10"/>
  <c r="N14" i="10"/>
  <c r="BB14" i="10" s="1"/>
  <c r="R14" i="10"/>
  <c r="Q48" i="10"/>
  <c r="BE48" i="10" s="1"/>
  <c r="AD18" i="10"/>
  <c r="Z18" i="10"/>
  <c r="V18" i="10"/>
  <c r="R18" i="10"/>
  <c r="N18" i="10"/>
  <c r="BB18" i="10" s="1"/>
  <c r="AF18" i="10"/>
  <c r="AA18" i="10"/>
  <c r="U18" i="10"/>
  <c r="P18" i="10"/>
  <c r="BD18" i="10" s="1"/>
  <c r="K18" i="10"/>
  <c r="X18" i="10"/>
  <c r="S18" i="10"/>
  <c r="AE18" i="10"/>
  <c r="Y18" i="10"/>
  <c r="T18" i="10"/>
  <c r="O18" i="10"/>
  <c r="BC18" i="10" s="1"/>
  <c r="AC18" i="10"/>
  <c r="M18" i="10"/>
  <c r="BA18" i="10" s="1"/>
  <c r="Q20" i="10"/>
  <c r="BE20" i="10" s="1"/>
  <c r="AC69" i="10"/>
  <c r="Y69" i="10"/>
  <c r="U69" i="10"/>
  <c r="Q69" i="10"/>
  <c r="BE69" i="10" s="1"/>
  <c r="M69" i="10"/>
  <c r="BA69" i="10" s="1"/>
  <c r="AF69" i="10"/>
  <c r="AA69" i="10"/>
  <c r="V69" i="10"/>
  <c r="P69" i="10"/>
  <c r="BD69" i="10" s="1"/>
  <c r="K69" i="10"/>
  <c r="S69" i="10"/>
  <c r="AE69" i="10"/>
  <c r="Z69" i="10"/>
  <c r="T69" i="10"/>
  <c r="O69" i="10"/>
  <c r="BC69" i="10" s="1"/>
  <c r="AD69" i="10"/>
  <c r="X69" i="10"/>
  <c r="N69" i="10"/>
  <c r="BB69" i="10" s="1"/>
  <c r="AD22" i="10"/>
  <c r="Z22" i="10"/>
  <c r="V22" i="10"/>
  <c r="R22" i="10"/>
  <c r="N22" i="10"/>
  <c r="BB22" i="10" s="1"/>
  <c r="AF22" i="10"/>
  <c r="AA22" i="10"/>
  <c r="U22" i="10"/>
  <c r="P22" i="10"/>
  <c r="BD22" i="10" s="1"/>
  <c r="K22" i="10"/>
  <c r="AC22" i="10"/>
  <c r="S22" i="10"/>
  <c r="AE22" i="10"/>
  <c r="Y22" i="10"/>
  <c r="T22" i="10"/>
  <c r="O22" i="10"/>
  <c r="BC22" i="10" s="1"/>
  <c r="X22" i="10"/>
  <c r="M22" i="10"/>
  <c r="BA22" i="10" s="1"/>
  <c r="AQ46" i="10"/>
  <c r="AV46" i="10" s="1"/>
  <c r="W48" i="10"/>
  <c r="V20" i="10"/>
  <c r="P81" i="10"/>
  <c r="BD81" i="10" s="1"/>
  <c r="X81" i="10"/>
  <c r="T9" i="10"/>
  <c r="AB9" i="10"/>
  <c r="AF9" i="10"/>
  <c r="P11" i="10"/>
  <c r="BD11" i="10" s="1"/>
  <c r="X11" i="10"/>
  <c r="AB11" i="10"/>
  <c r="AF11" i="10"/>
  <c r="P12" i="10"/>
  <c r="BD12" i="10" s="1"/>
  <c r="AB12" i="10"/>
  <c r="T66" i="10"/>
  <c r="AB66" i="10"/>
  <c r="AF66" i="10"/>
  <c r="P91" i="10"/>
  <c r="BD91" i="10" s="1"/>
  <c r="X91" i="10"/>
  <c r="T92" i="10"/>
  <c r="AB92" i="10"/>
  <c r="AF92" i="10"/>
  <c r="X68" i="10"/>
  <c r="AD50" i="10"/>
  <c r="AE50" i="10"/>
  <c r="Z50" i="10"/>
  <c r="V50" i="10"/>
  <c r="R50" i="10"/>
  <c r="N50" i="10"/>
  <c r="BB50" i="10" s="1"/>
  <c r="W50" i="10"/>
  <c r="AS72" i="10"/>
  <c r="AC97" i="10"/>
  <c r="Y97" i="10"/>
  <c r="U97" i="10"/>
  <c r="Q97" i="10"/>
  <c r="BE97" i="10" s="1"/>
  <c r="M97" i="10"/>
  <c r="BA97" i="10" s="1"/>
  <c r="AF97" i="10"/>
  <c r="AA97" i="10"/>
  <c r="V97" i="10"/>
  <c r="P97" i="10"/>
  <c r="BD97" i="10" s="1"/>
  <c r="K97" i="10"/>
  <c r="AE97" i="10"/>
  <c r="Z97" i="10"/>
  <c r="T97" i="10"/>
  <c r="O97" i="10"/>
  <c r="BC97" i="10" s="1"/>
  <c r="AB97" i="10"/>
  <c r="R97" i="10"/>
  <c r="X97" i="10"/>
  <c r="N97" i="10"/>
  <c r="BB97" i="10" s="1"/>
  <c r="AH79" i="10"/>
  <c r="P8" i="10"/>
  <c r="BD8" i="10" s="1"/>
  <c r="T8" i="10"/>
  <c r="X8" i="10"/>
  <c r="AB8" i="10"/>
  <c r="I80" i="10"/>
  <c r="AG80" i="10"/>
  <c r="AK80" i="10"/>
  <c r="K64" i="10"/>
  <c r="O64" i="10"/>
  <c r="BC64" i="10" s="1"/>
  <c r="S64" i="10"/>
  <c r="W64" i="10"/>
  <c r="AA64" i="10"/>
  <c r="AE64" i="10"/>
  <c r="M81" i="10"/>
  <c r="BA81" i="10" s="1"/>
  <c r="Q81" i="10"/>
  <c r="BE81" i="10" s="1"/>
  <c r="U81" i="10"/>
  <c r="Y81" i="10"/>
  <c r="AC81" i="10"/>
  <c r="M9" i="10"/>
  <c r="BA9" i="10" s="1"/>
  <c r="Q9" i="10"/>
  <c r="BE9" i="10" s="1"/>
  <c r="U9" i="10"/>
  <c r="Y9" i="10"/>
  <c r="AC9" i="10"/>
  <c r="K45" i="10"/>
  <c r="O45" i="10"/>
  <c r="BC45" i="10" s="1"/>
  <c r="S45" i="10"/>
  <c r="W45" i="10"/>
  <c r="AA45" i="10"/>
  <c r="AE45" i="10"/>
  <c r="K10" i="10"/>
  <c r="O10" i="10"/>
  <c r="BC10" i="10" s="1"/>
  <c r="S10" i="10"/>
  <c r="W10" i="10"/>
  <c r="AA10" i="10"/>
  <c r="AE10" i="10"/>
  <c r="M11" i="10"/>
  <c r="BA11" i="10" s="1"/>
  <c r="Q11" i="10"/>
  <c r="BE11" i="10" s="1"/>
  <c r="U11" i="10"/>
  <c r="Y11" i="10"/>
  <c r="AC11" i="10"/>
  <c r="K89" i="10"/>
  <c r="O89" i="10"/>
  <c r="BC89" i="10" s="1"/>
  <c r="S89" i="10"/>
  <c r="W89" i="10"/>
  <c r="AA89" i="10"/>
  <c r="AE89" i="10"/>
  <c r="M12" i="10"/>
  <c r="BA12" i="10" s="1"/>
  <c r="Q12" i="10"/>
  <c r="BE12" i="10" s="1"/>
  <c r="U12" i="10"/>
  <c r="Y12" i="10"/>
  <c r="AC12" i="10"/>
  <c r="K46" i="10"/>
  <c r="O46" i="10"/>
  <c r="BC46" i="10" s="1"/>
  <c r="S46" i="10"/>
  <c r="W46" i="10"/>
  <c r="AA46" i="10"/>
  <c r="AE46" i="10"/>
  <c r="M66" i="10"/>
  <c r="BA66" i="10" s="1"/>
  <c r="Q66" i="10"/>
  <c r="BE66" i="10" s="1"/>
  <c r="U66" i="10"/>
  <c r="Y66" i="10"/>
  <c r="AC66" i="10"/>
  <c r="K90" i="10"/>
  <c r="O90" i="10"/>
  <c r="BC90" i="10" s="1"/>
  <c r="S90" i="10"/>
  <c r="W90" i="10"/>
  <c r="AA90" i="10"/>
  <c r="AE90" i="10"/>
  <c r="M91" i="10"/>
  <c r="BA91" i="10" s="1"/>
  <c r="Q91" i="10"/>
  <c r="BE91" i="10" s="1"/>
  <c r="U91" i="10"/>
  <c r="Y91" i="10"/>
  <c r="AC91" i="10"/>
  <c r="K47" i="10"/>
  <c r="O47" i="10"/>
  <c r="BC47" i="10" s="1"/>
  <c r="S47" i="10"/>
  <c r="W47" i="10"/>
  <c r="AA47" i="10"/>
  <c r="AE47" i="10"/>
  <c r="K67" i="10"/>
  <c r="O67" i="10"/>
  <c r="BC67" i="10" s="1"/>
  <c r="S67" i="10"/>
  <c r="W67" i="10"/>
  <c r="AA67" i="10"/>
  <c r="AE67" i="10"/>
  <c r="M92" i="10"/>
  <c r="BA92" i="10" s="1"/>
  <c r="Q92" i="10"/>
  <c r="BE92" i="10" s="1"/>
  <c r="U92" i="10"/>
  <c r="Y92" i="10"/>
  <c r="AC92" i="10"/>
  <c r="K82" i="10"/>
  <c r="O82" i="10"/>
  <c r="BC82" i="10" s="1"/>
  <c r="S82" i="10"/>
  <c r="W82" i="10"/>
  <c r="AA82" i="10"/>
  <c r="AE82" i="10"/>
  <c r="M68" i="10"/>
  <c r="BA68" i="10" s="1"/>
  <c r="Q68" i="10"/>
  <c r="BE68" i="10" s="1"/>
  <c r="U68" i="10"/>
  <c r="Y68" i="10"/>
  <c r="AC68" i="10"/>
  <c r="K13" i="10"/>
  <c r="O13" i="10"/>
  <c r="BC13" i="10" s="1"/>
  <c r="S13" i="10"/>
  <c r="W13" i="10"/>
  <c r="K15" i="10"/>
  <c r="P15" i="10"/>
  <c r="BD15" i="10" s="1"/>
  <c r="V15" i="10"/>
  <c r="AA15" i="10"/>
  <c r="K16" i="10"/>
  <c r="P16" i="10"/>
  <c r="BD16" i="10" s="1"/>
  <c r="U16" i="10"/>
  <c r="AA16" i="10"/>
  <c r="AC19" i="10"/>
  <c r="Y19" i="10"/>
  <c r="U19" i="10"/>
  <c r="Q19" i="10"/>
  <c r="BE19" i="10" s="1"/>
  <c r="M19" i="10"/>
  <c r="BA19" i="10" s="1"/>
  <c r="R19" i="10"/>
  <c r="W19" i="10"/>
  <c r="AB19" i="10"/>
  <c r="M50" i="10"/>
  <c r="BA50" i="10" s="1"/>
  <c r="S50" i="10"/>
  <c r="X50" i="10"/>
  <c r="AC50" i="10"/>
  <c r="Q70" i="10"/>
  <c r="BE70" i="10" s="1"/>
  <c r="S94" i="10"/>
  <c r="AD95" i="10"/>
  <c r="Z95" i="10"/>
  <c r="V95" i="10"/>
  <c r="R95" i="10"/>
  <c r="N95" i="10"/>
  <c r="BB95" i="10" s="1"/>
  <c r="AE95" i="10"/>
  <c r="Y95" i="10"/>
  <c r="T95" i="10"/>
  <c r="O95" i="10"/>
  <c r="BC95" i="10" s="1"/>
  <c r="AC95" i="10"/>
  <c r="X95" i="10"/>
  <c r="S95" i="10"/>
  <c r="M95" i="10"/>
  <c r="BA95" i="10" s="1"/>
  <c r="W95" i="10"/>
  <c r="AE73" i="10"/>
  <c r="AA73" i="10"/>
  <c r="W73" i="10"/>
  <c r="S73" i="10"/>
  <c r="O73" i="10"/>
  <c r="BC73" i="10" s="1"/>
  <c r="K73" i="10"/>
  <c r="AD73" i="10"/>
  <c r="Y73" i="10"/>
  <c r="T73" i="10"/>
  <c r="N73" i="10"/>
  <c r="BB73" i="10" s="1"/>
  <c r="AC73" i="10"/>
  <c r="X73" i="10"/>
  <c r="R73" i="10"/>
  <c r="M73" i="10"/>
  <c r="BA73" i="10" s="1"/>
  <c r="AB73" i="10"/>
  <c r="Q73" i="10"/>
  <c r="BE73" i="10" s="1"/>
  <c r="Z73" i="10"/>
  <c r="P73" i="10"/>
  <c r="BD73" i="10" s="1"/>
  <c r="S97" i="10"/>
  <c r="AC29" i="10"/>
  <c r="Y29" i="10"/>
  <c r="U29" i="10"/>
  <c r="Q29" i="10"/>
  <c r="BE29" i="10" s="1"/>
  <c r="M29" i="10"/>
  <c r="BA29" i="10" s="1"/>
  <c r="AE29" i="10"/>
  <c r="Z29" i="10"/>
  <c r="T29" i="10"/>
  <c r="O29" i="10"/>
  <c r="BC29" i="10" s="1"/>
  <c r="AD29" i="10"/>
  <c r="X29" i="10"/>
  <c r="S29" i="10"/>
  <c r="N29" i="10"/>
  <c r="BB29" i="10" s="1"/>
  <c r="AF29" i="10"/>
  <c r="V29" i="10"/>
  <c r="K29" i="10"/>
  <c r="AB29" i="10"/>
  <c r="R29" i="10"/>
  <c r="AD31" i="10"/>
  <c r="Z31" i="10"/>
  <c r="V31" i="10"/>
  <c r="R31" i="10"/>
  <c r="N31" i="10"/>
  <c r="BB31" i="10" s="1"/>
  <c r="AC31" i="10"/>
  <c r="X31" i="10"/>
  <c r="S31" i="10"/>
  <c r="M31" i="10"/>
  <c r="BA31" i="10" s="1"/>
  <c r="AF31" i="10"/>
  <c r="Y31" i="10"/>
  <c r="Q31" i="10"/>
  <c r="BE31" i="10" s="1"/>
  <c r="K31" i="10"/>
  <c r="AE31" i="10"/>
  <c r="W31" i="10"/>
  <c r="P31" i="10"/>
  <c r="BD31" i="10" s="1"/>
  <c r="U31" i="10"/>
  <c r="T31" i="10"/>
  <c r="AE32" i="10"/>
  <c r="AA32" i="10"/>
  <c r="W32" i="10"/>
  <c r="S32" i="10"/>
  <c r="O32" i="10"/>
  <c r="BC32" i="10" s="1"/>
  <c r="K32" i="10"/>
  <c r="AF32" i="10"/>
  <c r="Z32" i="10"/>
  <c r="U32" i="10"/>
  <c r="P32" i="10"/>
  <c r="BD32" i="10" s="1"/>
  <c r="AC32" i="10"/>
  <c r="V32" i="10"/>
  <c r="N32" i="10"/>
  <c r="BB32" i="10" s="1"/>
  <c r="AB32" i="10"/>
  <c r="T32" i="10"/>
  <c r="M32" i="10"/>
  <c r="BA32" i="10" s="1"/>
  <c r="R32" i="10"/>
  <c r="AD32" i="10"/>
  <c r="Q32" i="10"/>
  <c r="BE32" i="10" s="1"/>
  <c r="AT40" i="10"/>
  <c r="AY40" i="10" s="1"/>
  <c r="T81" i="10"/>
  <c r="AB81" i="10"/>
  <c r="AF81" i="10"/>
  <c r="P9" i="10"/>
  <c r="BD9" i="10" s="1"/>
  <c r="X9" i="10"/>
  <c r="T11" i="10"/>
  <c r="T12" i="10"/>
  <c r="X12" i="10"/>
  <c r="AF12" i="10"/>
  <c r="P66" i="10"/>
  <c r="BD66" i="10" s="1"/>
  <c r="X66" i="10"/>
  <c r="T91" i="10"/>
  <c r="AB91" i="10"/>
  <c r="AF91" i="10"/>
  <c r="P92" i="10"/>
  <c r="BD92" i="10" s="1"/>
  <c r="X92" i="10"/>
  <c r="P68" i="10"/>
  <c r="BD68" i="10" s="1"/>
  <c r="T68" i="10"/>
  <c r="AB68" i="10"/>
  <c r="AF68" i="10"/>
  <c r="Q50" i="10"/>
  <c r="BE50" i="10" s="1"/>
  <c r="AB50" i="10"/>
  <c r="AI79" i="10"/>
  <c r="P64" i="10"/>
  <c r="BD64" i="10" s="1"/>
  <c r="T64" i="10"/>
  <c r="X64" i="10"/>
  <c r="AB64" i="10"/>
  <c r="N81" i="10"/>
  <c r="BB81" i="10" s="1"/>
  <c r="R81" i="10"/>
  <c r="V81" i="10"/>
  <c r="Z81" i="10"/>
  <c r="N9" i="10"/>
  <c r="BB9" i="10" s="1"/>
  <c r="R9" i="10"/>
  <c r="V9" i="10"/>
  <c r="Z9" i="10"/>
  <c r="P45" i="10"/>
  <c r="BD45" i="10" s="1"/>
  <c r="T45" i="10"/>
  <c r="X45" i="10"/>
  <c r="AB45" i="10"/>
  <c r="P10" i="10"/>
  <c r="BD10" i="10" s="1"/>
  <c r="T10" i="10"/>
  <c r="X10" i="10"/>
  <c r="AB10" i="10"/>
  <c r="N11" i="10"/>
  <c r="BB11" i="10" s="1"/>
  <c r="R11" i="10"/>
  <c r="V11" i="10"/>
  <c r="Z11" i="10"/>
  <c r="P89" i="10"/>
  <c r="BD89" i="10" s="1"/>
  <c r="T89" i="10"/>
  <c r="X89" i="10"/>
  <c r="AB89" i="10"/>
  <c r="N12" i="10"/>
  <c r="BB12" i="10" s="1"/>
  <c r="R12" i="10"/>
  <c r="V12" i="10"/>
  <c r="Z12" i="10"/>
  <c r="P46" i="10"/>
  <c r="BD46" i="10" s="1"/>
  <c r="T46" i="10"/>
  <c r="X46" i="10"/>
  <c r="AB46" i="10"/>
  <c r="N66" i="10"/>
  <c r="BB66" i="10" s="1"/>
  <c r="R66" i="10"/>
  <c r="V66" i="10"/>
  <c r="Z66" i="10"/>
  <c r="P90" i="10"/>
  <c r="BD90" i="10" s="1"/>
  <c r="T90" i="10"/>
  <c r="X90" i="10"/>
  <c r="AB90" i="10"/>
  <c r="N91" i="10"/>
  <c r="BB91" i="10" s="1"/>
  <c r="R91" i="10"/>
  <c r="V91" i="10"/>
  <c r="Z91" i="10"/>
  <c r="P47" i="10"/>
  <c r="BD47" i="10" s="1"/>
  <c r="T47" i="10"/>
  <c r="X47" i="10"/>
  <c r="AB47" i="10"/>
  <c r="P67" i="10"/>
  <c r="BD67" i="10" s="1"/>
  <c r="T67" i="10"/>
  <c r="X67" i="10"/>
  <c r="AB67" i="10"/>
  <c r="N92" i="10"/>
  <c r="BB92" i="10" s="1"/>
  <c r="R92" i="10"/>
  <c r="V92" i="10"/>
  <c r="Z92" i="10"/>
  <c r="P82" i="10"/>
  <c r="BD82" i="10" s="1"/>
  <c r="T82" i="10"/>
  <c r="X82" i="10"/>
  <c r="AB82" i="10"/>
  <c r="N68" i="10"/>
  <c r="BB68" i="10" s="1"/>
  <c r="R68" i="10"/>
  <c r="V68" i="10"/>
  <c r="Z68" i="10"/>
  <c r="AC13" i="10"/>
  <c r="Y13" i="10"/>
  <c r="P13" i="10"/>
  <c r="BD13" i="10" s="1"/>
  <c r="T13" i="10"/>
  <c r="X13" i="10"/>
  <c r="AD13" i="10"/>
  <c r="AC15" i="10"/>
  <c r="Y15" i="10"/>
  <c r="U15" i="10"/>
  <c r="Q15" i="10"/>
  <c r="BE15" i="10" s="1"/>
  <c r="M15" i="10"/>
  <c r="BA15" i="10" s="1"/>
  <c r="R15" i="10"/>
  <c r="W15" i="10"/>
  <c r="AB15" i="10"/>
  <c r="AD16" i="10"/>
  <c r="Z16" i="10"/>
  <c r="V16" i="10"/>
  <c r="R16" i="10"/>
  <c r="N16" i="10"/>
  <c r="BB16" i="10" s="1"/>
  <c r="Q16" i="10"/>
  <c r="BE16" i="10" s="1"/>
  <c r="W16" i="10"/>
  <c r="AB16" i="10"/>
  <c r="O50" i="10"/>
  <c r="BC50" i="10" s="1"/>
  <c r="T50" i="10"/>
  <c r="Y50" i="10"/>
  <c r="AF50" i="10"/>
  <c r="AD70" i="10"/>
  <c r="Z70" i="10"/>
  <c r="V70" i="10"/>
  <c r="R70" i="10"/>
  <c r="N70" i="10"/>
  <c r="BB70" i="10" s="1"/>
  <c r="AB70" i="10"/>
  <c r="W70" i="10"/>
  <c r="AF70" i="10"/>
  <c r="AA70" i="10"/>
  <c r="U70" i="10"/>
  <c r="P70" i="10"/>
  <c r="BD70" i="10" s="1"/>
  <c r="K70" i="10"/>
  <c r="S70" i="10"/>
  <c r="AC70" i="10"/>
  <c r="AD94" i="10"/>
  <c r="Z94" i="10"/>
  <c r="V94" i="10"/>
  <c r="R94" i="10"/>
  <c r="N94" i="10"/>
  <c r="BB94" i="10" s="1"/>
  <c r="AF94" i="10"/>
  <c r="AA94" i="10"/>
  <c r="U94" i="10"/>
  <c r="P94" i="10"/>
  <c r="BD94" i="10" s="1"/>
  <c r="K94" i="10"/>
  <c r="AE94" i="10"/>
  <c r="Y94" i="10"/>
  <c r="T94" i="10"/>
  <c r="O94" i="10"/>
  <c r="BC94" i="10" s="1"/>
  <c r="W94" i="10"/>
  <c r="AT95" i="10"/>
  <c r="AY95" i="10" s="1"/>
  <c r="W97" i="10"/>
  <c r="P17" i="10"/>
  <c r="BD17" i="10" s="1"/>
  <c r="T17" i="10"/>
  <c r="X17" i="10"/>
  <c r="AB17" i="10"/>
  <c r="P49" i="10"/>
  <c r="BD49" i="10" s="1"/>
  <c r="T49" i="10"/>
  <c r="X49" i="10"/>
  <c r="AB49" i="10"/>
  <c r="P21" i="10"/>
  <c r="BD21" i="10" s="1"/>
  <c r="T21" i="10"/>
  <c r="X21" i="10"/>
  <c r="AB21" i="10"/>
  <c r="P83" i="10"/>
  <c r="BD83" i="10" s="1"/>
  <c r="T83" i="10"/>
  <c r="X83" i="10"/>
  <c r="AB83" i="10"/>
  <c r="AU23" i="10"/>
  <c r="AD54" i="10"/>
  <c r="Z54" i="10"/>
  <c r="V54" i="10"/>
  <c r="R54" i="10"/>
  <c r="N54" i="10"/>
  <c r="BB54" i="10" s="1"/>
  <c r="Q54" i="10"/>
  <c r="BE54" i="10" s="1"/>
  <c r="W54" i="10"/>
  <c r="AB54" i="10"/>
  <c r="K72" i="10"/>
  <c r="P72" i="10"/>
  <c r="BD72" i="10" s="1"/>
  <c r="U72" i="10"/>
  <c r="AA72" i="10"/>
  <c r="U25" i="10"/>
  <c r="S55" i="10"/>
  <c r="AC96" i="10"/>
  <c r="Y96" i="10"/>
  <c r="U96" i="10"/>
  <c r="Q96" i="10"/>
  <c r="BE96" i="10" s="1"/>
  <c r="M96" i="10"/>
  <c r="BA96" i="10" s="1"/>
  <c r="AE96" i="10"/>
  <c r="Z96" i="10"/>
  <c r="T96" i="10"/>
  <c r="O96" i="10"/>
  <c r="BC96" i="10" s="1"/>
  <c r="AD96" i="10"/>
  <c r="X96" i="10"/>
  <c r="S96" i="10"/>
  <c r="N96" i="10"/>
  <c r="BB96" i="10" s="1"/>
  <c r="W96" i="10"/>
  <c r="R86" i="10"/>
  <c r="AD72" i="10"/>
  <c r="Z72" i="10"/>
  <c r="V72" i="10"/>
  <c r="R72" i="10"/>
  <c r="N72" i="10"/>
  <c r="BB72" i="10" s="1"/>
  <c r="Q72" i="10"/>
  <c r="BE72" i="10" s="1"/>
  <c r="W72" i="10"/>
  <c r="AB72" i="10"/>
  <c r="AE25" i="10"/>
  <c r="AA25" i="10"/>
  <c r="W25" i="10"/>
  <c r="S25" i="10"/>
  <c r="O25" i="10"/>
  <c r="BC25" i="10" s="1"/>
  <c r="K25" i="10"/>
  <c r="AD25" i="10"/>
  <c r="Y25" i="10"/>
  <c r="T25" i="10"/>
  <c r="N25" i="10"/>
  <c r="BB25" i="10" s="1"/>
  <c r="AC25" i="10"/>
  <c r="X25" i="10"/>
  <c r="R25" i="10"/>
  <c r="M25" i="10"/>
  <c r="BA25" i="10" s="1"/>
  <c r="V25" i="10"/>
  <c r="AC55" i="10"/>
  <c r="Y55" i="10"/>
  <c r="U55" i="10"/>
  <c r="Q55" i="10"/>
  <c r="BE55" i="10" s="1"/>
  <c r="M55" i="10"/>
  <c r="BA55" i="10" s="1"/>
  <c r="AF55" i="10"/>
  <c r="AA55" i="10"/>
  <c r="V55" i="10"/>
  <c r="P55" i="10"/>
  <c r="BD55" i="10" s="1"/>
  <c r="K55" i="10"/>
  <c r="AE55" i="10"/>
  <c r="Z55" i="10"/>
  <c r="T55" i="10"/>
  <c r="O55" i="10"/>
  <c r="BC55" i="10" s="1"/>
  <c r="W55" i="10"/>
  <c r="AE86" i="10"/>
  <c r="AA86" i="10"/>
  <c r="W86" i="10"/>
  <c r="S86" i="10"/>
  <c r="O86" i="10"/>
  <c r="BC86" i="10" s="1"/>
  <c r="K86" i="10"/>
  <c r="AF86" i="10"/>
  <c r="Z86" i="10"/>
  <c r="U86" i="10"/>
  <c r="P86" i="10"/>
  <c r="BD86" i="10" s="1"/>
  <c r="AD86" i="10"/>
  <c r="Y86" i="10"/>
  <c r="T86" i="10"/>
  <c r="N86" i="10"/>
  <c r="BB86" i="10" s="1"/>
  <c r="V86" i="10"/>
  <c r="AV30" i="10"/>
  <c r="P51" i="10"/>
  <c r="BD51" i="10" s="1"/>
  <c r="T51" i="10"/>
  <c r="X51" i="10"/>
  <c r="AB51" i="10"/>
  <c r="P52" i="10"/>
  <c r="BD52" i="10" s="1"/>
  <c r="T52" i="10"/>
  <c r="X52" i="10"/>
  <c r="AB52" i="10"/>
  <c r="P93" i="10"/>
  <c r="BD93" i="10" s="1"/>
  <c r="T93" i="10"/>
  <c r="X93" i="10"/>
  <c r="AB93" i="10"/>
  <c r="P53" i="10"/>
  <c r="BD53" i="10" s="1"/>
  <c r="T53" i="10"/>
  <c r="X53" i="10"/>
  <c r="AB53" i="10"/>
  <c r="P23" i="10"/>
  <c r="BD23" i="10" s="1"/>
  <c r="T23" i="10"/>
  <c r="X23" i="10"/>
  <c r="AB23" i="10"/>
  <c r="P71" i="10"/>
  <c r="BD71" i="10" s="1"/>
  <c r="T71" i="10"/>
  <c r="X71" i="10"/>
  <c r="AB71" i="10"/>
  <c r="P24" i="10"/>
  <c r="BD24" i="10" s="1"/>
  <c r="T24" i="10"/>
  <c r="X24" i="10"/>
  <c r="AB24" i="10"/>
  <c r="P84" i="10"/>
  <c r="BD84" i="10" s="1"/>
  <c r="T84" i="10"/>
  <c r="X84" i="10"/>
  <c r="AB84" i="10"/>
  <c r="AE85" i="10"/>
  <c r="AA85" i="10"/>
  <c r="W85" i="10"/>
  <c r="S85" i="10"/>
  <c r="O85" i="10"/>
  <c r="BC85" i="10" s="1"/>
  <c r="K85" i="10"/>
  <c r="Q85" i="10"/>
  <c r="BE85" i="10" s="1"/>
  <c r="V85" i="10"/>
  <c r="AB85" i="10"/>
  <c r="P26" i="10"/>
  <c r="BD26" i="10" s="1"/>
  <c r="U26" i="10"/>
  <c r="Z26" i="10"/>
  <c r="AC27" i="10"/>
  <c r="Y27" i="10"/>
  <c r="U27" i="10"/>
  <c r="Q27" i="10"/>
  <c r="BE27" i="10" s="1"/>
  <c r="M27" i="10"/>
  <c r="BA27" i="10" s="1"/>
  <c r="R27" i="10"/>
  <c r="W27" i="10"/>
  <c r="AB27" i="10"/>
  <c r="K28" i="10"/>
  <c r="P28" i="10"/>
  <c r="BD28" i="10" s="1"/>
  <c r="V28" i="10"/>
  <c r="AA28" i="10"/>
  <c r="AE98" i="10"/>
  <c r="AA98" i="10"/>
  <c r="W98" i="10"/>
  <c r="S98" i="10"/>
  <c r="O98" i="10"/>
  <c r="BC98" i="10" s="1"/>
  <c r="K98" i="10"/>
  <c r="Q98" i="10"/>
  <c r="BE98" i="10" s="1"/>
  <c r="V98" i="10"/>
  <c r="AB98" i="10"/>
  <c r="P30" i="10"/>
  <c r="BD30" i="10" s="1"/>
  <c r="U30" i="10"/>
  <c r="Z30" i="10"/>
  <c r="P56" i="10"/>
  <c r="BD56" i="10" s="1"/>
  <c r="U56" i="10"/>
  <c r="Z56" i="10"/>
  <c r="AC57" i="10"/>
  <c r="Y57" i="10"/>
  <c r="U57" i="10"/>
  <c r="Q57" i="10"/>
  <c r="BE57" i="10" s="1"/>
  <c r="M57" i="10"/>
  <c r="BA57" i="10" s="1"/>
  <c r="R57" i="10"/>
  <c r="W57" i="10"/>
  <c r="AB57" i="10"/>
  <c r="AD102" i="10"/>
  <c r="Z102" i="10"/>
  <c r="V102" i="10"/>
  <c r="R102" i="10"/>
  <c r="N102" i="10"/>
  <c r="BB102" i="10" s="1"/>
  <c r="AE102" i="10"/>
  <c r="Y102" i="10"/>
  <c r="T102" i="10"/>
  <c r="O102" i="10"/>
  <c r="BC102" i="10" s="1"/>
  <c r="AC102" i="10"/>
  <c r="X102" i="10"/>
  <c r="S102" i="10"/>
  <c r="M102" i="10"/>
  <c r="BA102" i="10" s="1"/>
  <c r="AB102" i="10"/>
  <c r="Q102" i="10"/>
  <c r="BE102" i="10" s="1"/>
  <c r="AA102" i="10"/>
  <c r="P102" i="10"/>
  <c r="BD102" i="10" s="1"/>
  <c r="AE26" i="10"/>
  <c r="AA26" i="10"/>
  <c r="W26" i="10"/>
  <c r="S26" i="10"/>
  <c r="O26" i="10"/>
  <c r="BC26" i="10" s="1"/>
  <c r="K26" i="10"/>
  <c r="Q26" i="10"/>
  <c r="BE26" i="10" s="1"/>
  <c r="V26" i="10"/>
  <c r="AB26" i="10"/>
  <c r="AC28" i="10"/>
  <c r="Y28" i="10"/>
  <c r="U28" i="10"/>
  <c r="Q28" i="10"/>
  <c r="BE28" i="10" s="1"/>
  <c r="M28" i="10"/>
  <c r="BA28" i="10" s="1"/>
  <c r="R28" i="10"/>
  <c r="W28" i="10"/>
  <c r="AB28" i="10"/>
  <c r="AQ98" i="10"/>
  <c r="AV98" i="10" s="1"/>
  <c r="AE30" i="10"/>
  <c r="AA30" i="10"/>
  <c r="W30" i="10"/>
  <c r="S30" i="10"/>
  <c r="O30" i="10"/>
  <c r="BC30" i="10" s="1"/>
  <c r="K30" i="10"/>
  <c r="Q30" i="10"/>
  <c r="BE30" i="10" s="1"/>
  <c r="V30" i="10"/>
  <c r="AB30" i="10"/>
  <c r="AE56" i="10"/>
  <c r="AA56" i="10"/>
  <c r="W56" i="10"/>
  <c r="S56" i="10"/>
  <c r="O56" i="10"/>
  <c r="BC56" i="10" s="1"/>
  <c r="K56" i="10"/>
  <c r="Q56" i="10"/>
  <c r="BE56" i="10" s="1"/>
  <c r="V56" i="10"/>
  <c r="AB56" i="10"/>
  <c r="AD40" i="10"/>
  <c r="Z40" i="10"/>
  <c r="V40" i="10"/>
  <c r="AC40" i="10"/>
  <c r="X40" i="10"/>
  <c r="S40" i="10"/>
  <c r="O40" i="10"/>
  <c r="BC40" i="10" s="1"/>
  <c r="K40" i="10"/>
  <c r="AA40" i="10"/>
  <c r="T40" i="10"/>
  <c r="N40" i="10"/>
  <c r="BB40" i="10" s="1"/>
  <c r="AF40" i="10"/>
  <c r="Y40" i="10"/>
  <c r="R40" i="10"/>
  <c r="M40" i="10"/>
  <c r="BA40" i="10" s="1"/>
  <c r="AE40" i="10"/>
  <c r="Q40" i="10"/>
  <c r="BE40" i="10" s="1"/>
  <c r="AB40" i="10"/>
  <c r="P40" i="10"/>
  <c r="BD40" i="10" s="1"/>
  <c r="W40" i="10"/>
  <c r="AC61" i="10"/>
  <c r="Y61" i="10"/>
  <c r="U61" i="10"/>
  <c r="Q61" i="10"/>
  <c r="BE61" i="10" s="1"/>
  <c r="M61" i="10"/>
  <c r="BA61" i="10" s="1"/>
  <c r="AE61" i="10"/>
  <c r="AA61" i="10"/>
  <c r="AB61" i="10"/>
  <c r="V61" i="10"/>
  <c r="Z61" i="10"/>
  <c r="T61" i="10"/>
  <c r="O61" i="10"/>
  <c r="BC61" i="10" s="1"/>
  <c r="X61" i="10"/>
  <c r="P61" i="10"/>
  <c r="BD61" i="10" s="1"/>
  <c r="W61" i="10"/>
  <c r="N61" i="10"/>
  <c r="BB61" i="10" s="1"/>
  <c r="S61" i="10"/>
  <c r="R61" i="10"/>
  <c r="K61" i="10"/>
  <c r="AF61" i="10"/>
  <c r="K74" i="10"/>
  <c r="P74" i="10"/>
  <c r="BD74" i="10" s="1"/>
  <c r="U74" i="10"/>
  <c r="AA74" i="10"/>
  <c r="AD74" i="10"/>
  <c r="Z74" i="10"/>
  <c r="V74" i="10"/>
  <c r="R74" i="10"/>
  <c r="N74" i="10"/>
  <c r="BB74" i="10" s="1"/>
  <c r="Q74" i="10"/>
  <c r="BE74" i="10" s="1"/>
  <c r="W74" i="10"/>
  <c r="AB74" i="10"/>
  <c r="AD39" i="10"/>
  <c r="Z39" i="10"/>
  <c r="V39" i="10"/>
  <c r="R39" i="10"/>
  <c r="N39" i="10"/>
  <c r="BB39" i="10" s="1"/>
  <c r="AF39" i="10"/>
  <c r="AA39" i="10"/>
  <c r="U39" i="10"/>
  <c r="P39" i="10"/>
  <c r="BD39" i="10" s="1"/>
  <c r="K39" i="10"/>
  <c r="AE39" i="10"/>
  <c r="X39" i="10"/>
  <c r="Q39" i="10"/>
  <c r="BE39" i="10" s="1"/>
  <c r="AC39" i="10"/>
  <c r="W39" i="10"/>
  <c r="O39" i="10"/>
  <c r="BC39" i="10" s="1"/>
  <c r="Y39" i="10"/>
  <c r="P33" i="10"/>
  <c r="BD33" i="10" s="1"/>
  <c r="T33" i="10"/>
  <c r="X33" i="10"/>
  <c r="AB33" i="10"/>
  <c r="P34" i="10"/>
  <c r="BD34" i="10" s="1"/>
  <c r="T34" i="10"/>
  <c r="X34" i="10"/>
  <c r="AB34" i="10"/>
  <c r="P99" i="10"/>
  <c r="BD99" i="10" s="1"/>
  <c r="T99" i="10"/>
  <c r="X99" i="10"/>
  <c r="AB99" i="10"/>
  <c r="AD75" i="10"/>
  <c r="Z75" i="10"/>
  <c r="V75" i="10"/>
  <c r="R75" i="10"/>
  <c r="N75" i="10"/>
  <c r="BB75" i="10" s="1"/>
  <c r="Q75" i="10"/>
  <c r="BE75" i="10" s="1"/>
  <c r="W75" i="10"/>
  <c r="AB75" i="10"/>
  <c r="K35" i="10"/>
  <c r="P35" i="10"/>
  <c r="BD35" i="10" s="1"/>
  <c r="U35" i="10"/>
  <c r="AA35" i="10"/>
  <c r="K36" i="10"/>
  <c r="P36" i="10"/>
  <c r="BD36" i="10" s="1"/>
  <c r="U36" i="10"/>
  <c r="AA36" i="10"/>
  <c r="AD76" i="10"/>
  <c r="Z76" i="10"/>
  <c r="V76" i="10"/>
  <c r="R76" i="10"/>
  <c r="N76" i="10"/>
  <c r="BB76" i="10" s="1"/>
  <c r="Q76" i="10"/>
  <c r="BE76" i="10" s="1"/>
  <c r="W76" i="10"/>
  <c r="AB76" i="10"/>
  <c r="AD35" i="10"/>
  <c r="Z35" i="10"/>
  <c r="V35" i="10"/>
  <c r="R35" i="10"/>
  <c r="N35" i="10"/>
  <c r="BB35" i="10" s="1"/>
  <c r="Q35" i="10"/>
  <c r="BE35" i="10" s="1"/>
  <c r="W35" i="10"/>
  <c r="AB35" i="10"/>
  <c r="AD36" i="10"/>
  <c r="Z36" i="10"/>
  <c r="V36" i="10"/>
  <c r="R36" i="10"/>
  <c r="N36" i="10"/>
  <c r="BB36" i="10" s="1"/>
  <c r="Q36" i="10"/>
  <c r="BE36" i="10" s="1"/>
  <c r="W36" i="10"/>
  <c r="AB36" i="10"/>
  <c r="AE58" i="10"/>
  <c r="AA58" i="10"/>
  <c r="W58" i="10"/>
  <c r="S58" i="10"/>
  <c r="O58" i="10"/>
  <c r="BC58" i="10" s="1"/>
  <c r="K58" i="10"/>
  <c r="AD58" i="10"/>
  <c r="Y58" i="10"/>
  <c r="T58" i="10"/>
  <c r="N58" i="10"/>
  <c r="BB58" i="10" s="1"/>
  <c r="AC58" i="10"/>
  <c r="V58" i="10"/>
  <c r="P58" i="10"/>
  <c r="BD58" i="10" s="1"/>
  <c r="AB58" i="10"/>
  <c r="U58" i="10"/>
  <c r="M58" i="10"/>
  <c r="BA58" i="10" s="1"/>
  <c r="Z58" i="10"/>
  <c r="P100" i="10"/>
  <c r="BD100" i="10" s="1"/>
  <c r="T100" i="10"/>
  <c r="X100" i="10"/>
  <c r="AB100" i="10"/>
  <c r="P101" i="10"/>
  <c r="BD101" i="10" s="1"/>
  <c r="T101" i="10"/>
  <c r="X101" i="10"/>
  <c r="AB101" i="10"/>
  <c r="P37" i="10"/>
  <c r="BD37" i="10" s="1"/>
  <c r="T37" i="10"/>
  <c r="X37" i="10"/>
  <c r="AB37" i="10"/>
  <c r="P38" i="10"/>
  <c r="BD38" i="10" s="1"/>
  <c r="T38" i="10"/>
  <c r="X38" i="10"/>
  <c r="AB38" i="10"/>
  <c r="P103" i="10"/>
  <c r="BD103" i="10" s="1"/>
  <c r="T103" i="10"/>
  <c r="X103" i="10"/>
  <c r="AB103" i="10"/>
  <c r="AC59" i="10"/>
  <c r="Y59" i="10"/>
  <c r="U59" i="10"/>
  <c r="Q59" i="10"/>
  <c r="BE59" i="10" s="1"/>
  <c r="M59" i="10"/>
  <c r="BA59" i="10" s="1"/>
  <c r="AF59" i="10"/>
  <c r="AA59" i="10"/>
  <c r="V59" i="10"/>
  <c r="P59" i="10"/>
  <c r="BD59" i="10" s="1"/>
  <c r="K59" i="10"/>
  <c r="S59" i="10"/>
  <c r="Z59" i="10"/>
  <c r="Q60" i="10"/>
  <c r="BE60" i="10" s="1"/>
  <c r="Y60" i="10"/>
  <c r="AE60" i="10"/>
  <c r="AA60" i="10"/>
  <c r="W60" i="10"/>
  <c r="S60" i="10"/>
  <c r="O60" i="10"/>
  <c r="BC60" i="10" s="1"/>
  <c r="K60" i="10"/>
  <c r="AC60" i="10"/>
  <c r="X60" i="10"/>
  <c r="R60" i="10"/>
  <c r="M60" i="10"/>
  <c r="BA60" i="10" s="1"/>
  <c r="T60" i="10"/>
  <c r="Z60" i="10"/>
  <c r="P104" i="10"/>
  <c r="BD104" i="10" s="1"/>
  <c r="T104" i="10"/>
  <c r="X104" i="10"/>
  <c r="AB104" i="10"/>
  <c r="AD42" i="10"/>
  <c r="Z42" i="10"/>
  <c r="V42" i="10"/>
  <c r="R42" i="10"/>
  <c r="N42" i="10"/>
  <c r="BB42" i="10" s="1"/>
  <c r="Q42" i="10"/>
  <c r="BE42" i="10" s="1"/>
  <c r="W42" i="10"/>
  <c r="AB42" i="10"/>
  <c r="P41" i="10"/>
  <c r="BD41" i="10" s="1"/>
  <c r="T41" i="10"/>
  <c r="X41" i="10"/>
  <c r="AB41" i="10"/>
  <c r="CC87" i="10" l="1"/>
  <c r="CB77" i="10"/>
  <c r="DB79" i="10"/>
  <c r="DA87" i="10"/>
  <c r="CC105" i="10"/>
  <c r="CB105" i="10"/>
  <c r="DB45" i="10"/>
  <c r="DA62" i="10"/>
  <c r="DB89" i="10"/>
  <c r="DA105" i="10"/>
  <c r="CZ106" i="10"/>
  <c r="CA62" i="10"/>
  <c r="CA106" i="10" s="1"/>
  <c r="CB62" i="10"/>
  <c r="O80" i="10"/>
  <c r="CC77" i="10"/>
  <c r="DB64" i="10"/>
  <c r="DA77" i="10"/>
  <c r="CC43" i="10"/>
  <c r="CB43" i="10"/>
  <c r="DB8" i="10"/>
  <c r="DA43" i="10"/>
  <c r="DA106" i="10" s="1"/>
  <c r="BN100" i="10"/>
  <c r="BO100" i="10"/>
  <c r="BK56" i="10"/>
  <c r="BG21" i="10"/>
  <c r="BK99" i="10"/>
  <c r="BG23" i="10"/>
  <c r="BJ33" i="10"/>
  <c r="BH28" i="10"/>
  <c r="BJ60" i="10"/>
  <c r="T80" i="10"/>
  <c r="AS80" i="10" s="1"/>
  <c r="AX80" i="10" s="1"/>
  <c r="AZ64" i="10"/>
  <c r="BJ64" i="10" s="1"/>
  <c r="P80" i="10"/>
  <c r="BD80" i="10" s="1"/>
  <c r="BN46" i="10"/>
  <c r="BN93" i="10"/>
  <c r="BO27" i="10"/>
  <c r="Y80" i="10"/>
  <c r="AV93" i="10"/>
  <c r="BF93" i="10" s="1"/>
  <c r="BG41" i="10"/>
  <c r="BO64" i="10"/>
  <c r="BK71" i="10"/>
  <c r="BG84" i="10"/>
  <c r="BG42" i="10"/>
  <c r="BG71" i="10"/>
  <c r="BN82" i="10"/>
  <c r="BK30" i="10"/>
  <c r="BF71" i="10"/>
  <c r="BF51" i="10"/>
  <c r="AV56" i="10"/>
  <c r="BF56" i="10" s="1"/>
  <c r="BG99" i="10"/>
  <c r="BJ19" i="10"/>
  <c r="BN33" i="10"/>
  <c r="BH85" i="10"/>
  <c r="BN52" i="10"/>
  <c r="BG54" i="10"/>
  <c r="BO23" i="10"/>
  <c r="BI21" i="10"/>
  <c r="BI34" i="10"/>
  <c r="BK82" i="10"/>
  <c r="AY93" i="10"/>
  <c r="BI93" i="10" s="1"/>
  <c r="BN64" i="10"/>
  <c r="BJ37" i="10"/>
  <c r="N80" i="10"/>
  <c r="BB80" i="10" s="1"/>
  <c r="BI101" i="10"/>
  <c r="BM76" i="10"/>
  <c r="BG33" i="10"/>
  <c r="BI38" i="10"/>
  <c r="BG76" i="10"/>
  <c r="BJ103" i="10"/>
  <c r="BG83" i="10"/>
  <c r="BF59" i="10"/>
  <c r="BG93" i="10"/>
  <c r="BI17" i="10"/>
  <c r="BK93" i="10"/>
  <c r="BG53" i="10"/>
  <c r="BK38" i="10"/>
  <c r="BI99" i="10"/>
  <c r="BG35" i="10"/>
  <c r="BK52" i="10"/>
  <c r="BO83" i="10"/>
  <c r="AD80" i="10"/>
  <c r="BK51" i="10"/>
  <c r="BI8" i="10"/>
  <c r="BN71" i="10"/>
  <c r="BN49" i="10"/>
  <c r="BH15" i="10"/>
  <c r="BG34" i="10"/>
  <c r="BL92" i="10"/>
  <c r="BO53" i="10"/>
  <c r="BH54" i="10"/>
  <c r="BG17" i="10"/>
  <c r="DJ82" i="10"/>
  <c r="DJ99" i="10"/>
  <c r="DJ15" i="10"/>
  <c r="DJ76" i="10"/>
  <c r="BH57" i="10"/>
  <c r="BN83" i="10"/>
  <c r="AW92" i="10"/>
  <c r="BG92" i="10" s="1"/>
  <c r="BC80" i="10"/>
  <c r="BJ46" i="10"/>
  <c r="BI51" i="10"/>
  <c r="BK21" i="10"/>
  <c r="BJ96" i="10"/>
  <c r="BN45" i="10"/>
  <c r="DJ91" i="10"/>
  <c r="DJ84" i="10"/>
  <c r="DJ68" i="10"/>
  <c r="DJ50" i="10"/>
  <c r="DJ47" i="10"/>
  <c r="DJ93" i="10"/>
  <c r="DJ23" i="10"/>
  <c r="DJ64" i="10"/>
  <c r="BM54" i="10"/>
  <c r="BK17" i="10"/>
  <c r="W79" i="10"/>
  <c r="BN8" i="10"/>
  <c r="DJ55" i="10"/>
  <c r="BG75" i="10"/>
  <c r="BO41" i="10"/>
  <c r="BI42" i="10"/>
  <c r="BK34" i="10"/>
  <c r="DJ35" i="10"/>
  <c r="DJ13" i="10"/>
  <c r="DJ11" i="10"/>
  <c r="DJ34" i="10"/>
  <c r="DJ16" i="10"/>
  <c r="DJ31" i="10"/>
  <c r="AR80" i="10"/>
  <c r="AW80" i="10" s="1"/>
  <c r="CC55" i="10"/>
  <c r="CC62" i="10" s="1"/>
  <c r="CB55" i="10"/>
  <c r="CE99" i="10"/>
  <c r="CD99" i="10"/>
  <c r="CE51" i="10"/>
  <c r="CD51" i="10"/>
  <c r="CE23" i="10"/>
  <c r="CD23" i="10"/>
  <c r="CE102" i="10"/>
  <c r="CD102" i="10"/>
  <c r="CD24" i="10"/>
  <c r="CE24" i="10"/>
  <c r="CG79" i="10"/>
  <c r="CF79" i="10"/>
  <c r="CE101" i="10"/>
  <c r="CD101" i="10"/>
  <c r="CE52" i="10"/>
  <c r="CD52" i="10"/>
  <c r="CE57" i="10"/>
  <c r="CD57" i="10"/>
  <c r="CE22" i="10"/>
  <c r="CD22" i="10"/>
  <c r="CE91" i="10"/>
  <c r="CD91" i="10"/>
  <c r="CE96" i="10"/>
  <c r="CD96" i="10"/>
  <c r="CE86" i="10"/>
  <c r="CD86" i="10"/>
  <c r="CD27" i="10"/>
  <c r="CE27" i="10"/>
  <c r="CE18" i="10"/>
  <c r="CD18" i="10"/>
  <c r="CE46" i="10"/>
  <c r="CD46" i="10"/>
  <c r="CE14" i="10"/>
  <c r="CD14" i="10"/>
  <c r="CE92" i="10"/>
  <c r="CD92" i="10"/>
  <c r="CE33" i="10"/>
  <c r="CD33" i="10"/>
  <c r="CE48" i="10"/>
  <c r="CD48" i="10"/>
  <c r="CE74" i="10"/>
  <c r="CD74" i="10"/>
  <c r="CE83" i="10"/>
  <c r="CD83" i="10"/>
  <c r="CE67" i="10"/>
  <c r="CD67" i="10"/>
  <c r="CE42" i="10"/>
  <c r="CD42" i="10"/>
  <c r="CE9" i="10"/>
  <c r="CD9" i="10"/>
  <c r="CE41" i="10"/>
  <c r="CD41" i="10"/>
  <c r="CE38" i="10"/>
  <c r="CD38" i="10"/>
  <c r="CE89" i="10"/>
  <c r="CD89" i="10"/>
  <c r="CE37" i="10"/>
  <c r="CD37" i="10"/>
  <c r="CE21" i="10"/>
  <c r="CD21" i="10"/>
  <c r="CE36" i="10"/>
  <c r="CD36" i="10"/>
  <c r="CE11" i="10"/>
  <c r="CD11" i="10"/>
  <c r="CE20" i="10"/>
  <c r="CD20" i="10"/>
  <c r="CG8" i="10"/>
  <c r="CF8" i="10"/>
  <c r="CE34" i="10"/>
  <c r="CD34" i="10"/>
  <c r="CE75" i="10"/>
  <c r="CD75" i="10"/>
  <c r="CE29" i="10"/>
  <c r="CD29" i="10"/>
  <c r="CE82" i="10"/>
  <c r="CD82" i="10"/>
  <c r="CD30" i="10"/>
  <c r="CE30" i="10"/>
  <c r="CE104" i="10"/>
  <c r="CD104" i="10"/>
  <c r="CE71" i="10"/>
  <c r="CD71" i="10"/>
  <c r="CE84" i="10"/>
  <c r="CD84" i="10"/>
  <c r="CE70" i="10"/>
  <c r="CD70" i="10"/>
  <c r="CE39" i="10"/>
  <c r="CD39" i="10"/>
  <c r="CE69" i="10"/>
  <c r="CD69" i="10"/>
  <c r="CD97" i="10"/>
  <c r="CE97" i="10"/>
  <c r="CD95" i="10"/>
  <c r="CE95" i="10"/>
  <c r="CE12" i="10"/>
  <c r="CD12" i="10"/>
  <c r="CD98" i="10"/>
  <c r="CE98" i="10"/>
  <c r="BM27" i="10"/>
  <c r="R80" i="10"/>
  <c r="AQ80" i="10" s="1"/>
  <c r="AC80" i="10"/>
  <c r="X80" i="10"/>
  <c r="BL80" i="10" s="1"/>
  <c r="AC79" i="10"/>
  <c r="BL36" i="10"/>
  <c r="AA80" i="10"/>
  <c r="AE80" i="10"/>
  <c r="W80" i="10"/>
  <c r="BN75" i="10"/>
  <c r="BG103" i="10"/>
  <c r="BJ71" i="10"/>
  <c r="AX27" i="10"/>
  <c r="BH27" i="10" s="1"/>
  <c r="BO57" i="10"/>
  <c r="BG51" i="10"/>
  <c r="V80" i="10"/>
  <c r="AU80" i="10" s="1"/>
  <c r="BJ73" i="10"/>
  <c r="BO13" i="10"/>
  <c r="BO67" i="10"/>
  <c r="Q80" i="10"/>
  <c r="BE80" i="10" s="1"/>
  <c r="BM72" i="10"/>
  <c r="AB80" i="10"/>
  <c r="Z79" i="10"/>
  <c r="BL15" i="10"/>
  <c r="BM56" i="10"/>
  <c r="BN53" i="10"/>
  <c r="BG100" i="10"/>
  <c r="K80" i="10"/>
  <c r="CE40" i="10"/>
  <c r="CD40" i="10"/>
  <c r="CE66" i="10"/>
  <c r="CD66" i="10"/>
  <c r="CE17" i="10"/>
  <c r="CD17" i="10"/>
  <c r="CG80" i="10"/>
  <c r="CF80" i="10"/>
  <c r="CE16" i="10"/>
  <c r="CD16" i="10"/>
  <c r="CE94" i="10"/>
  <c r="CD94" i="10"/>
  <c r="CE45" i="10"/>
  <c r="CD45" i="10"/>
  <c r="CD25" i="10"/>
  <c r="CE25" i="10"/>
  <c r="CD73" i="10"/>
  <c r="CE73" i="10"/>
  <c r="CD26" i="10"/>
  <c r="CE26" i="10"/>
  <c r="CE72" i="10"/>
  <c r="CD72" i="10"/>
  <c r="CE10" i="10"/>
  <c r="CD10" i="10"/>
  <c r="CE28" i="10"/>
  <c r="CD28" i="10"/>
  <c r="CE31" i="10"/>
  <c r="CD31" i="10"/>
  <c r="CD85" i="10"/>
  <c r="CE85" i="10"/>
  <c r="CE53" i="10"/>
  <c r="CD53" i="10"/>
  <c r="CE59" i="10"/>
  <c r="CD59" i="10"/>
  <c r="CE61" i="10"/>
  <c r="CD61" i="10"/>
  <c r="CE58" i="10"/>
  <c r="CD58" i="10"/>
  <c r="CE35" i="10"/>
  <c r="CD35" i="10"/>
  <c r="CE100" i="10"/>
  <c r="CD100" i="10"/>
  <c r="CE49" i="10"/>
  <c r="CD49" i="10"/>
  <c r="CE50" i="10"/>
  <c r="CD50" i="10"/>
  <c r="CE47" i="10"/>
  <c r="CD47" i="10"/>
  <c r="CE68" i="10"/>
  <c r="CD68" i="10"/>
  <c r="CD56" i="10"/>
  <c r="CE56" i="10"/>
  <c r="CE65" i="10"/>
  <c r="CD65" i="10"/>
  <c r="CD54" i="10"/>
  <c r="CE54" i="10"/>
  <c r="CD32" i="10"/>
  <c r="CE32" i="10"/>
  <c r="CE93" i="10"/>
  <c r="CD93" i="10"/>
  <c r="CE90" i="10"/>
  <c r="CD90" i="10"/>
  <c r="CE103" i="10"/>
  <c r="CD103" i="10"/>
  <c r="CE15" i="10"/>
  <c r="CD15" i="10"/>
  <c r="CE81" i="10"/>
  <c r="CD81" i="10"/>
  <c r="CD87" i="10" s="1"/>
  <c r="CE60" i="10"/>
  <c r="CD60" i="10"/>
  <c r="CE64" i="10"/>
  <c r="CD64" i="10"/>
  <c r="CE13" i="10"/>
  <c r="CD13" i="10"/>
  <c r="CE19" i="10"/>
  <c r="CD19" i="10"/>
  <c r="CE76" i="10"/>
  <c r="CD76" i="10"/>
  <c r="BL84" i="10"/>
  <c r="M80" i="10"/>
  <c r="BA80" i="10" s="1"/>
  <c r="BK8" i="10"/>
  <c r="BM75" i="10"/>
  <c r="BG37" i="10"/>
  <c r="BK37" i="10"/>
  <c r="AY75" i="10"/>
  <c r="BI75" i="10" s="1"/>
  <c r="BO101" i="10"/>
  <c r="BO51" i="10"/>
  <c r="Z80" i="10"/>
  <c r="U80" i="10"/>
  <c r="AT80" i="10" s="1"/>
  <c r="AY80" i="10" s="1"/>
  <c r="AF80" i="10"/>
  <c r="BG8" i="10"/>
  <c r="Y79" i="10"/>
  <c r="BJ104" i="10"/>
  <c r="BO34" i="10"/>
  <c r="BF82" i="10"/>
  <c r="BF24" i="10"/>
  <c r="AY10" i="10"/>
  <c r="BI10" i="10" s="1"/>
  <c r="BN23" i="10"/>
  <c r="BM28" i="10"/>
  <c r="BL49" i="10"/>
  <c r="BK103" i="10"/>
  <c r="BM15" i="10"/>
  <c r="BF101" i="10"/>
  <c r="BL68" i="10"/>
  <c r="BL38" i="10"/>
  <c r="BL100" i="10"/>
  <c r="AW36" i="10"/>
  <c r="BG36" i="10" s="1"/>
  <c r="BK96" i="10"/>
  <c r="BL42" i="10"/>
  <c r="BL12" i="10"/>
  <c r="BO46" i="10"/>
  <c r="BL81" i="10"/>
  <c r="AY46" i="10"/>
  <c r="BI46" i="10" s="1"/>
  <c r="BF10" i="10"/>
  <c r="BL41" i="10"/>
  <c r="BL35" i="10"/>
  <c r="AX75" i="10"/>
  <c r="BH75" i="10" s="1"/>
  <c r="BK89" i="10"/>
  <c r="BK10" i="10"/>
  <c r="BG81" i="10"/>
  <c r="BN50" i="10"/>
  <c r="BL17" i="10"/>
  <c r="BM39" i="10"/>
  <c r="BO37" i="10"/>
  <c r="BL24" i="10"/>
  <c r="BN101" i="10"/>
  <c r="BM19" i="10"/>
  <c r="BK45" i="10"/>
  <c r="AY64" i="10"/>
  <c r="BI64" i="10" s="1"/>
  <c r="BF41" i="10"/>
  <c r="BO103" i="10"/>
  <c r="AZ34" i="10"/>
  <c r="BJ34" i="10" s="1"/>
  <c r="BK67" i="10"/>
  <c r="BO10" i="10"/>
  <c r="BG57" i="10"/>
  <c r="BL83" i="10"/>
  <c r="BO73" i="10"/>
  <c r="BF47" i="10"/>
  <c r="BK59" i="10"/>
  <c r="BL76" i="10"/>
  <c r="BL53" i="10"/>
  <c r="BK41" i="10"/>
  <c r="AV58" i="10"/>
  <c r="BF58" i="10" s="1"/>
  <c r="BL103" i="10"/>
  <c r="BF46" i="10"/>
  <c r="BO84" i="10"/>
  <c r="BM26" i="10"/>
  <c r="AZ41" i="10"/>
  <c r="BJ41" i="10" s="1"/>
  <c r="BF30" i="10"/>
  <c r="BK26" i="10"/>
  <c r="BL71" i="10"/>
  <c r="BL23" i="10"/>
  <c r="BL93" i="10"/>
  <c r="BL52" i="10"/>
  <c r="BL51" i="10"/>
  <c r="BL74" i="10"/>
  <c r="BL9" i="10"/>
  <c r="BK46" i="10"/>
  <c r="BH26" i="10"/>
  <c r="BN38" i="10"/>
  <c r="AW11" i="10"/>
  <c r="BG11" i="10" s="1"/>
  <c r="BN85" i="10"/>
  <c r="BI23" i="10"/>
  <c r="BF103" i="10"/>
  <c r="BN76" i="10"/>
  <c r="BH39" i="10"/>
  <c r="AZ38" i="10"/>
  <c r="BJ38" i="10" s="1"/>
  <c r="BF26" i="10"/>
  <c r="BK55" i="10"/>
  <c r="AV38" i="10"/>
  <c r="BF38" i="10" s="1"/>
  <c r="BL57" i="10"/>
  <c r="BF21" i="10"/>
  <c r="BO89" i="10"/>
  <c r="BI50" i="10"/>
  <c r="AV69" i="10"/>
  <c r="BF69" i="10" s="1"/>
  <c r="BK24" i="10"/>
  <c r="BN99" i="10"/>
  <c r="BG74" i="10"/>
  <c r="BK33" i="10"/>
  <c r="AV33" i="10"/>
  <c r="BF33" i="10" s="1"/>
  <c r="BN98" i="10"/>
  <c r="AY98" i="10"/>
  <c r="BI98" i="10" s="1"/>
  <c r="AY13" i="10"/>
  <c r="BI13" i="10" s="1"/>
  <c r="BN13" i="10"/>
  <c r="BJ53" i="10"/>
  <c r="AY84" i="10"/>
  <c r="BI84" i="10" s="1"/>
  <c r="BN84" i="10"/>
  <c r="AV104" i="10"/>
  <c r="BF104" i="10" s="1"/>
  <c r="BK104" i="10"/>
  <c r="BN73" i="10"/>
  <c r="AU93" i="10"/>
  <c r="AZ93" i="10" s="1"/>
  <c r="BJ93" i="10" s="1"/>
  <c r="AU99" i="10"/>
  <c r="BO99" i="10" s="1"/>
  <c r="AU52" i="10"/>
  <c r="BO52" i="10" s="1"/>
  <c r="AU21" i="10"/>
  <c r="BO21" i="10" s="1"/>
  <c r="AF79" i="10"/>
  <c r="X79" i="10"/>
  <c r="AU24" i="10"/>
  <c r="BO24" i="10" s="1"/>
  <c r="BN47" i="10"/>
  <c r="BN42" i="10"/>
  <c r="BL104" i="10"/>
  <c r="BK58" i="10"/>
  <c r="AX76" i="10"/>
  <c r="BH76" i="10" s="1"/>
  <c r="BG28" i="10"/>
  <c r="AW38" i="10"/>
  <c r="BG38" i="10" s="1"/>
  <c r="BM57" i="10"/>
  <c r="BL75" i="10"/>
  <c r="AV34" i="10"/>
  <c r="BF34" i="10" s="1"/>
  <c r="AZ57" i="10"/>
  <c r="BJ57" i="10" s="1"/>
  <c r="BO71" i="10"/>
  <c r="BO82" i="10"/>
  <c r="BK47" i="10"/>
  <c r="BG91" i="10"/>
  <c r="BK90" i="10"/>
  <c r="AY52" i="10"/>
  <c r="BI52" i="10" s="1"/>
  <c r="BM16" i="10"/>
  <c r="BL91" i="10"/>
  <c r="BL11" i="10"/>
  <c r="AY53" i="10"/>
  <c r="BI53" i="10" s="1"/>
  <c r="BK83" i="10"/>
  <c r="T79" i="10"/>
  <c r="AS79" i="10" s="1"/>
  <c r="N79" i="10"/>
  <c r="BB79" i="10" s="1"/>
  <c r="AD79" i="10"/>
  <c r="K79" i="10"/>
  <c r="AA79" i="10"/>
  <c r="BN51" i="10"/>
  <c r="AY49" i="10"/>
  <c r="BI49" i="10" s="1"/>
  <c r="AV8" i="10"/>
  <c r="BF8" i="10" s="1"/>
  <c r="AT104" i="10"/>
  <c r="BN104" i="10" s="1"/>
  <c r="AR27" i="10"/>
  <c r="BL27" i="10" s="1"/>
  <c r="BK101" i="10"/>
  <c r="BN90" i="10"/>
  <c r="BO104" i="10"/>
  <c r="BO17" i="10"/>
  <c r="AR16" i="10"/>
  <c r="AW16" i="10" s="1"/>
  <c r="BG16" i="10" s="1"/>
  <c r="BO60" i="10"/>
  <c r="BN34" i="10"/>
  <c r="BN24" i="10"/>
  <c r="BK84" i="10"/>
  <c r="BG24" i="10"/>
  <c r="AX56" i="10"/>
  <c r="BH56" i="10" s="1"/>
  <c r="BF67" i="10"/>
  <c r="BF45" i="10"/>
  <c r="AU49" i="10"/>
  <c r="BO49" i="10" s="1"/>
  <c r="BO96" i="10"/>
  <c r="BG49" i="10"/>
  <c r="R79" i="10"/>
  <c r="AQ79" i="10" s="1"/>
  <c r="M79" i="10"/>
  <c r="BA79" i="10" s="1"/>
  <c r="O79" i="10"/>
  <c r="BC79" i="10" s="1"/>
  <c r="AE79" i="10"/>
  <c r="AW52" i="10"/>
  <c r="BG52" i="10" s="1"/>
  <c r="AY47" i="10"/>
  <c r="BI47" i="10" s="1"/>
  <c r="P79" i="10"/>
  <c r="BD79" i="10" s="1"/>
  <c r="AT60" i="10"/>
  <c r="BN60" i="10" s="1"/>
  <c r="AT37" i="10"/>
  <c r="BN37" i="10" s="1"/>
  <c r="BN89" i="10"/>
  <c r="AT54" i="10"/>
  <c r="BN54" i="10" s="1"/>
  <c r="AS98" i="10"/>
  <c r="BM98" i="10" s="1"/>
  <c r="BM36" i="10"/>
  <c r="BL101" i="10"/>
  <c r="AV99" i="10"/>
  <c r="BF99" i="10" s="1"/>
  <c r="AZ101" i="10"/>
  <c r="BJ101" i="10" s="1"/>
  <c r="BK98" i="10"/>
  <c r="BK85" i="10"/>
  <c r="BF83" i="10"/>
  <c r="AY24" i="10"/>
  <c r="BI24" i="10" s="1"/>
  <c r="BL66" i="10"/>
  <c r="BK23" i="10"/>
  <c r="BJ82" i="10"/>
  <c r="AQ64" i="10"/>
  <c r="AV64" i="10" s="1"/>
  <c r="BF64" i="10" s="1"/>
  <c r="Q79" i="10"/>
  <c r="BE79" i="10" s="1"/>
  <c r="V79" i="10"/>
  <c r="AU79" i="10" s="1"/>
  <c r="U79" i="10"/>
  <c r="AT79" i="10" s="1"/>
  <c r="AY79" i="10" s="1"/>
  <c r="S79" i="10"/>
  <c r="AR79" i="10" s="1"/>
  <c r="AY45" i="10"/>
  <c r="BI45" i="10" s="1"/>
  <c r="AS30" i="10"/>
  <c r="BM30" i="10" s="1"/>
  <c r="AS74" i="10"/>
  <c r="BM74" i="10" s="1"/>
  <c r="BL28" i="10"/>
  <c r="BO8" i="10"/>
  <c r="AR72" i="10"/>
  <c r="AW72" i="10" s="1"/>
  <c r="BG72" i="10" s="1"/>
  <c r="AR19" i="10"/>
  <c r="BL19" i="10" s="1"/>
  <c r="AS60" i="10"/>
  <c r="BM60" i="10" s="1"/>
  <c r="BF100" i="10"/>
  <c r="AU36" i="10"/>
  <c r="BO36" i="10" s="1"/>
  <c r="AU35" i="10"/>
  <c r="AZ35" i="10" s="1"/>
  <c r="BJ35" i="10" s="1"/>
  <c r="AQ76" i="10"/>
  <c r="AV76" i="10" s="1"/>
  <c r="BF76" i="10" s="1"/>
  <c r="AQ75" i="10"/>
  <c r="BK75" i="10" s="1"/>
  <c r="AS99" i="10"/>
  <c r="BM99" i="10" s="1"/>
  <c r="AS33" i="10"/>
  <c r="BM33" i="10" s="1"/>
  <c r="AR61" i="10"/>
  <c r="AW61" i="10" s="1"/>
  <c r="BG61" i="10" s="1"/>
  <c r="AU102" i="10"/>
  <c r="BO102" i="10" s="1"/>
  <c r="AT27" i="10"/>
  <c r="BN27" i="10" s="1"/>
  <c r="AR86" i="10"/>
  <c r="BL86" i="10" s="1"/>
  <c r="AT96" i="10"/>
  <c r="AY96" i="10" s="1"/>
  <c r="BI96" i="10" s="1"/>
  <c r="BL54" i="10"/>
  <c r="BF90" i="10"/>
  <c r="BF89" i="10"/>
  <c r="AS12" i="10"/>
  <c r="AX12" i="10" s="1"/>
  <c r="BH12" i="10" s="1"/>
  <c r="AS31" i="10"/>
  <c r="AX31" i="10" s="1"/>
  <c r="BH31" i="10" s="1"/>
  <c r="AS73" i="10"/>
  <c r="AX73" i="10" s="1"/>
  <c r="BH73" i="10" s="1"/>
  <c r="BG66" i="10"/>
  <c r="AR45" i="10"/>
  <c r="BL45" i="10" s="1"/>
  <c r="AU69" i="10"/>
  <c r="AZ69" i="10" s="1"/>
  <c r="BJ69" i="10" s="1"/>
  <c r="BJ14" i="10"/>
  <c r="AY83" i="10"/>
  <c r="BI83" i="10" s="1"/>
  <c r="AS20" i="10"/>
  <c r="AX20" i="10" s="1"/>
  <c r="BH20" i="10" s="1"/>
  <c r="AR48" i="10"/>
  <c r="AW48" i="10" s="1"/>
  <c r="BG48" i="10" s="1"/>
  <c r="AT48" i="10"/>
  <c r="AY48" i="10" s="1"/>
  <c r="BI48" i="10" s="1"/>
  <c r="AQ48" i="10"/>
  <c r="BK48" i="10" s="1"/>
  <c r="AZ13" i="10"/>
  <c r="BJ13" i="10" s="1"/>
  <c r="AX72" i="10"/>
  <c r="BH72" i="10" s="1"/>
  <c r="AQ42" i="10"/>
  <c r="AV42" i="10" s="1"/>
  <c r="BF42" i="10" s="1"/>
  <c r="BL37" i="10"/>
  <c r="AY100" i="10"/>
  <c r="BI100" i="10" s="1"/>
  <c r="BO33" i="10"/>
  <c r="AR56" i="10"/>
  <c r="BL56" i="10" s="1"/>
  <c r="BN102" i="10"/>
  <c r="AT57" i="10"/>
  <c r="BN57" i="10" s="1"/>
  <c r="AS84" i="10"/>
  <c r="BM84" i="10" s="1"/>
  <c r="AS71" i="10"/>
  <c r="BM71" i="10" s="1"/>
  <c r="AS53" i="10"/>
  <c r="BM53" i="10" s="1"/>
  <c r="AS52" i="10"/>
  <c r="BM52" i="10" s="1"/>
  <c r="AZ27" i="10"/>
  <c r="BJ27" i="10" s="1"/>
  <c r="AS25" i="10"/>
  <c r="BM25" i="10" s="1"/>
  <c r="AQ86" i="10"/>
  <c r="BK86" i="10" s="1"/>
  <c r="BF49" i="10"/>
  <c r="AT94" i="10"/>
  <c r="AY94" i="10" s="1"/>
  <c r="BI94" i="10" s="1"/>
  <c r="AQ94" i="10"/>
  <c r="BK94" i="10" s="1"/>
  <c r="AT70" i="10"/>
  <c r="AY70" i="10" s="1"/>
  <c r="BI70" i="10" s="1"/>
  <c r="AQ16" i="10"/>
  <c r="BK16" i="10" s="1"/>
  <c r="AU68" i="10"/>
  <c r="BO68" i="10" s="1"/>
  <c r="AU92" i="10"/>
  <c r="BO92" i="10" s="1"/>
  <c r="AU66" i="10"/>
  <c r="BO66" i="10" s="1"/>
  <c r="AU12" i="10"/>
  <c r="BO12" i="10" s="1"/>
  <c r="AU11" i="10"/>
  <c r="BO11" i="10" s="1"/>
  <c r="AU81" i="10"/>
  <c r="BO81" i="10" s="1"/>
  <c r="AS68" i="10"/>
  <c r="AX68" i="10" s="1"/>
  <c r="BH68" i="10" s="1"/>
  <c r="AS32" i="10"/>
  <c r="BM32" i="10" s="1"/>
  <c r="AT31" i="10"/>
  <c r="BN31" i="10" s="1"/>
  <c r="AS29" i="10"/>
  <c r="AX29" i="10" s="1"/>
  <c r="BH29" i="10" s="1"/>
  <c r="AR73" i="10"/>
  <c r="AW73" i="10" s="1"/>
  <c r="BG73" i="10" s="1"/>
  <c r="AR95" i="10"/>
  <c r="AW95" i="10" s="1"/>
  <c r="BG95" i="10" s="1"/>
  <c r="AQ95" i="10"/>
  <c r="AV95" i="10" s="1"/>
  <c r="BF95" i="10" s="1"/>
  <c r="BK13" i="10"/>
  <c r="AR47" i="10"/>
  <c r="BL47" i="10" s="1"/>
  <c r="AR46" i="10"/>
  <c r="AW46" i="10" s="1"/>
  <c r="BG46" i="10" s="1"/>
  <c r="AR10" i="10"/>
  <c r="BL10" i="10" s="1"/>
  <c r="AT9" i="10"/>
  <c r="AY9" i="10" s="1"/>
  <c r="BI9" i="10" s="1"/>
  <c r="BK49" i="10"/>
  <c r="BN17" i="10"/>
  <c r="AR69" i="10"/>
  <c r="BL69" i="10" s="1"/>
  <c r="AT69" i="10"/>
  <c r="BN69" i="10" s="1"/>
  <c r="AQ14" i="10"/>
  <c r="BK14" i="10" s="1"/>
  <c r="BO14" i="10"/>
  <c r="AT20" i="10"/>
  <c r="BN20" i="10" s="1"/>
  <c r="AS48" i="10"/>
  <c r="AX48" i="10" s="1"/>
  <c r="BH48" i="10" s="1"/>
  <c r="AU48" i="10"/>
  <c r="AZ48" i="10" s="1"/>
  <c r="BJ48" i="10" s="1"/>
  <c r="AW15" i="10"/>
  <c r="BG15" i="10" s="1"/>
  <c r="AU42" i="10"/>
  <c r="BO42" i="10" s="1"/>
  <c r="AQ60" i="10"/>
  <c r="BK60" i="10" s="1"/>
  <c r="AU59" i="10"/>
  <c r="BO59" i="10" s="1"/>
  <c r="AS103" i="10"/>
  <c r="BM103" i="10" s="1"/>
  <c r="AS38" i="10"/>
  <c r="BM38" i="10" s="1"/>
  <c r="AS37" i="10"/>
  <c r="BM37" i="10" s="1"/>
  <c r="AS101" i="10"/>
  <c r="BM101" i="10" s="1"/>
  <c r="AS100" i="10"/>
  <c r="BM100" i="10" s="1"/>
  <c r="AS58" i="10"/>
  <c r="AX58" i="10" s="1"/>
  <c r="BH58" i="10" s="1"/>
  <c r="BH36" i="10"/>
  <c r="BH35" i="10"/>
  <c r="AT36" i="10"/>
  <c r="BN36" i="10" s="1"/>
  <c r="AT35" i="10"/>
  <c r="AY35" i="10" s="1"/>
  <c r="BI35" i="10" s="1"/>
  <c r="AX42" i="10"/>
  <c r="BH42" i="10" s="1"/>
  <c r="AS61" i="10"/>
  <c r="BM61" i="10" s="1"/>
  <c r="AT61" i="10"/>
  <c r="AY61" i="10" s="1"/>
  <c r="BI61" i="10" s="1"/>
  <c r="AU40" i="10"/>
  <c r="BO40" i="10" s="1"/>
  <c r="BK100" i="10"/>
  <c r="AU30" i="10"/>
  <c r="AZ30" i="10" s="1"/>
  <c r="BJ30" i="10" s="1"/>
  <c r="AR30" i="10"/>
  <c r="BL30" i="10" s="1"/>
  <c r="AT28" i="10"/>
  <c r="BN28" i="10" s="1"/>
  <c r="AU26" i="10"/>
  <c r="BO26" i="10" s="1"/>
  <c r="AR26" i="10"/>
  <c r="BL26" i="10" s="1"/>
  <c r="BM35" i="10"/>
  <c r="AQ57" i="10"/>
  <c r="AV57" i="10" s="1"/>
  <c r="BF57" i="10" s="1"/>
  <c r="BF98" i="10"/>
  <c r="BF85" i="10"/>
  <c r="BI85" i="10"/>
  <c r="AS55" i="10"/>
  <c r="BM55" i="10" s="1"/>
  <c r="AR25" i="10"/>
  <c r="BL25" i="10" s="1"/>
  <c r="AQ72" i="10"/>
  <c r="AV72" i="10" s="1"/>
  <c r="BF72" i="10" s="1"/>
  <c r="AT25" i="10"/>
  <c r="BN25" i="10" s="1"/>
  <c r="AQ54" i="10"/>
  <c r="AV54" i="10" s="1"/>
  <c r="BF54" i="10" s="1"/>
  <c r="BL21" i="10"/>
  <c r="AU94" i="10"/>
  <c r="AZ94" i="10" s="1"/>
  <c r="BJ94" i="10" s="1"/>
  <c r="AR70" i="10"/>
  <c r="BL70" i="10" s="1"/>
  <c r="BH70" i="10"/>
  <c r="AU16" i="10"/>
  <c r="AZ16" i="10" s="1"/>
  <c r="BJ16" i="10" s="1"/>
  <c r="AT15" i="10"/>
  <c r="BN15" i="10" s="1"/>
  <c r="AQ68" i="10"/>
  <c r="BK68" i="10" s="1"/>
  <c r="AS82" i="10"/>
  <c r="BM82" i="10" s="1"/>
  <c r="AQ92" i="10"/>
  <c r="BK92" i="10" s="1"/>
  <c r="AS67" i="10"/>
  <c r="BM67" i="10" s="1"/>
  <c r="AS47" i="10"/>
  <c r="BM47" i="10" s="1"/>
  <c r="AQ91" i="10"/>
  <c r="BK91" i="10" s="1"/>
  <c r="AS90" i="10"/>
  <c r="BM90" i="10" s="1"/>
  <c r="AQ66" i="10"/>
  <c r="BK66" i="10" s="1"/>
  <c r="AS46" i="10"/>
  <c r="BM46" i="10" s="1"/>
  <c r="AQ12" i="10"/>
  <c r="BK12" i="10" s="1"/>
  <c r="AS89" i="10"/>
  <c r="BM89" i="10" s="1"/>
  <c r="AQ11" i="10"/>
  <c r="BK11" i="10" s="1"/>
  <c r="AS10" i="10"/>
  <c r="BM10" i="10" s="1"/>
  <c r="AS45" i="10"/>
  <c r="BM45" i="10" s="1"/>
  <c r="AQ9" i="10"/>
  <c r="BK9" i="10" s="1"/>
  <c r="AQ81" i="10"/>
  <c r="BK81" i="10" s="1"/>
  <c r="AS64" i="10"/>
  <c r="BM64" i="10" s="1"/>
  <c r="AY71" i="10"/>
  <c r="BI71" i="10" s="1"/>
  <c r="AZ51" i="10"/>
  <c r="BJ51" i="10" s="1"/>
  <c r="AR31" i="10"/>
  <c r="AW31" i="10" s="1"/>
  <c r="BG31" i="10" s="1"/>
  <c r="AQ31" i="10"/>
  <c r="AV31" i="10" s="1"/>
  <c r="BF31" i="10" s="1"/>
  <c r="AU29" i="10"/>
  <c r="BO29" i="10" s="1"/>
  <c r="AT29" i="10"/>
  <c r="BN29" i="10" s="1"/>
  <c r="AR97" i="10"/>
  <c r="AW97" i="10" s="1"/>
  <c r="BG97" i="10" s="1"/>
  <c r="AU95" i="10"/>
  <c r="BO95" i="10" s="1"/>
  <c r="AR50" i="10"/>
  <c r="BL50" i="10" s="1"/>
  <c r="AT19" i="10"/>
  <c r="BN19" i="10" s="1"/>
  <c r="AR13" i="10"/>
  <c r="AW13" i="10" s="1"/>
  <c r="BG13" i="10" s="1"/>
  <c r="AR82" i="10"/>
  <c r="AW82" i="10" s="1"/>
  <c r="BG82" i="10" s="1"/>
  <c r="AR67" i="10"/>
  <c r="AW67" i="10" s="1"/>
  <c r="BG67" i="10" s="1"/>
  <c r="AT91" i="10"/>
  <c r="BN91" i="10" s="1"/>
  <c r="BI90" i="10"/>
  <c r="AT66" i="10"/>
  <c r="AY66" i="10" s="1"/>
  <c r="BI66" i="10" s="1"/>
  <c r="AT12" i="10"/>
  <c r="BN12" i="10" s="1"/>
  <c r="BI89" i="10"/>
  <c r="AT11" i="10"/>
  <c r="AY11" i="10" s="1"/>
  <c r="BI11" i="10" s="1"/>
  <c r="BO45" i="10"/>
  <c r="AT81" i="10"/>
  <c r="BN81" i="10" s="1"/>
  <c r="AS97" i="10"/>
  <c r="BM97" i="10" s="1"/>
  <c r="AS92" i="10"/>
  <c r="BM92" i="10" s="1"/>
  <c r="AS66" i="10"/>
  <c r="BM66" i="10" s="1"/>
  <c r="AX16" i="10"/>
  <c r="BH16" i="10" s="1"/>
  <c r="AY82" i="10"/>
  <c r="BI82" i="10" s="1"/>
  <c r="AR22" i="10"/>
  <c r="BL22" i="10" s="1"/>
  <c r="AT22" i="10"/>
  <c r="BN22" i="10" s="1"/>
  <c r="AQ22" i="10"/>
  <c r="BK22" i="10" s="1"/>
  <c r="AS69" i="10"/>
  <c r="AX69" i="10" s="1"/>
  <c r="BH69" i="10" s="1"/>
  <c r="AV17" i="10"/>
  <c r="BF17" i="10" s="1"/>
  <c r="AT14" i="10"/>
  <c r="AY14" i="10" s="1"/>
  <c r="BI14" i="10" s="1"/>
  <c r="BN21" i="10"/>
  <c r="AR20" i="10"/>
  <c r="AW20" i="10" s="1"/>
  <c r="BG20" i="10" s="1"/>
  <c r="BO19" i="10"/>
  <c r="BM59" i="10"/>
  <c r="AT58" i="10"/>
  <c r="BN58" i="10" s="1"/>
  <c r="AS34" i="10"/>
  <c r="BM34" i="10" s="1"/>
  <c r="AU39" i="10"/>
  <c r="BO39" i="10" s="1"/>
  <c r="AU74" i="10"/>
  <c r="AZ74" i="10" s="1"/>
  <c r="BJ74" i="10" s="1"/>
  <c r="AU61" i="10"/>
  <c r="AZ61" i="10" s="1"/>
  <c r="BJ61" i="10" s="1"/>
  <c r="AT30" i="10"/>
  <c r="AY30" i="10" s="1"/>
  <c r="BI30" i="10" s="1"/>
  <c r="AU28" i="10"/>
  <c r="AZ28" i="10" s="1"/>
  <c r="BJ28" i="10" s="1"/>
  <c r="AT26" i="10"/>
  <c r="AY26" i="10" s="1"/>
  <c r="BI26" i="10" s="1"/>
  <c r="AT55" i="10"/>
  <c r="AY55" i="10" s="1"/>
  <c r="BI55" i="10" s="1"/>
  <c r="AT72" i="10"/>
  <c r="AY72" i="10" s="1"/>
  <c r="BI72" i="10" s="1"/>
  <c r="AS94" i="10"/>
  <c r="BM94" i="10" s="1"/>
  <c r="AU70" i="10"/>
  <c r="BO70" i="10" s="1"/>
  <c r="AS50" i="10"/>
  <c r="BM50" i="10" s="1"/>
  <c r="AS13" i="10"/>
  <c r="AX13" i="10" s="1"/>
  <c r="BH13" i="10" s="1"/>
  <c r="AU32" i="10"/>
  <c r="BO32" i="10" s="1"/>
  <c r="AR32" i="10"/>
  <c r="BL32" i="10" s="1"/>
  <c r="AQ73" i="10"/>
  <c r="AV73" i="10" s="1"/>
  <c r="BF73" i="10" s="1"/>
  <c r="BI73" i="10"/>
  <c r="BG12" i="10"/>
  <c r="AS8" i="10"/>
  <c r="BM8" i="10" s="1"/>
  <c r="AT97" i="10"/>
  <c r="AY97" i="10" s="1"/>
  <c r="BI97" i="10" s="1"/>
  <c r="AU50" i="10"/>
  <c r="BO50" i="10" s="1"/>
  <c r="BM70" i="10"/>
  <c r="AS18" i="10"/>
  <c r="AX18" i="10" s="1"/>
  <c r="BH18" i="10" s="1"/>
  <c r="AU18" i="10"/>
  <c r="BO18" i="10" s="1"/>
  <c r="AS104" i="10"/>
  <c r="BM104" i="10" s="1"/>
  <c r="AU76" i="10"/>
  <c r="BO76" i="10" s="1"/>
  <c r="AU75" i="10"/>
  <c r="BO75" i="10" s="1"/>
  <c r="BG39" i="10"/>
  <c r="AT74" i="10"/>
  <c r="BN74" i="10" s="1"/>
  <c r="BI40" i="10"/>
  <c r="AU56" i="10"/>
  <c r="AZ56" i="10" s="1"/>
  <c r="BJ56" i="10" s="1"/>
  <c r="BI102" i="10"/>
  <c r="AT56" i="10"/>
  <c r="BN56" i="10" s="1"/>
  <c r="AQ27" i="10"/>
  <c r="BK27" i="10" s="1"/>
  <c r="AS24" i="10"/>
  <c r="BM24" i="10" s="1"/>
  <c r="AS23" i="10"/>
  <c r="BM23" i="10" s="1"/>
  <c r="AS93" i="10"/>
  <c r="BM93" i="10" s="1"/>
  <c r="AS51" i="10"/>
  <c r="BM51" i="10" s="1"/>
  <c r="AU86" i="10"/>
  <c r="BO86" i="10" s="1"/>
  <c r="AQ25" i="10"/>
  <c r="AV25" i="10" s="1"/>
  <c r="BF25" i="10" s="1"/>
  <c r="AR55" i="10"/>
  <c r="BL55" i="10" s="1"/>
  <c r="AU91" i="10"/>
  <c r="BO91" i="10" s="1"/>
  <c r="AU9" i="10"/>
  <c r="BO9" i="10" s="1"/>
  <c r="AS11" i="10"/>
  <c r="BM11" i="10" s="1"/>
  <c r="AZ23" i="10"/>
  <c r="BJ23" i="10" s="1"/>
  <c r="AR29" i="10"/>
  <c r="BL29" i="10" s="1"/>
  <c r="AS95" i="10"/>
  <c r="AX95" i="10" s="1"/>
  <c r="BH95" i="10" s="1"/>
  <c r="AT16" i="10"/>
  <c r="BN16" i="10" s="1"/>
  <c r="AU15" i="10"/>
  <c r="BO15" i="10" s="1"/>
  <c r="BG68" i="10"/>
  <c r="AR90" i="10"/>
  <c r="BL90" i="10" s="1"/>
  <c r="AR89" i="10"/>
  <c r="BL89" i="10" s="1"/>
  <c r="AU20" i="10"/>
  <c r="BO20" i="10" s="1"/>
  <c r="AS41" i="10"/>
  <c r="BM41" i="10" s="1"/>
  <c r="AR60" i="10"/>
  <c r="AW60" i="10" s="1"/>
  <c r="BG60" i="10" s="1"/>
  <c r="AY41" i="10"/>
  <c r="BI41" i="10" s="1"/>
  <c r="AR59" i="10"/>
  <c r="BL59" i="10" s="1"/>
  <c r="AT59" i="10"/>
  <c r="BN59" i="10" s="1"/>
  <c r="AU58" i="10"/>
  <c r="BO58" i="10" s="1"/>
  <c r="AR58" i="10"/>
  <c r="BL58" i="10" s="1"/>
  <c r="AQ36" i="10"/>
  <c r="BK36" i="10" s="1"/>
  <c r="AQ35" i="10"/>
  <c r="BK35" i="10" s="1"/>
  <c r="BL99" i="10"/>
  <c r="BL34" i="10"/>
  <c r="BL33" i="10"/>
  <c r="BL39" i="10"/>
  <c r="AT39" i="10"/>
  <c r="AY39" i="10" s="1"/>
  <c r="BI39" i="10" s="1"/>
  <c r="AQ39" i="10"/>
  <c r="AV39" i="10" s="1"/>
  <c r="BF39" i="10" s="1"/>
  <c r="AQ74" i="10"/>
  <c r="BK74" i="10" s="1"/>
  <c r="AQ61" i="10"/>
  <c r="BK61" i="10" s="1"/>
  <c r="AQ40" i="10"/>
  <c r="BK40" i="10" s="1"/>
  <c r="AS40" i="10"/>
  <c r="BM40" i="10" s="1"/>
  <c r="AR40" i="10"/>
  <c r="AW40" i="10" s="1"/>
  <c r="BG40" i="10" s="1"/>
  <c r="BN40" i="10"/>
  <c r="AQ28" i="10"/>
  <c r="AV28" i="10" s="1"/>
  <c r="BF28" i="10" s="1"/>
  <c r="AR102" i="10"/>
  <c r="BL102" i="10" s="1"/>
  <c r="AS102" i="10"/>
  <c r="BM102" i="10" s="1"/>
  <c r="AQ102" i="10"/>
  <c r="BK102" i="10" s="1"/>
  <c r="AV37" i="10"/>
  <c r="BF37" i="10" s="1"/>
  <c r="AY33" i="10"/>
  <c r="BI33" i="10" s="1"/>
  <c r="AU98" i="10"/>
  <c r="BO98" i="10" s="1"/>
  <c r="AR98" i="10"/>
  <c r="BL98" i="10" s="1"/>
  <c r="AU85" i="10"/>
  <c r="BO85" i="10" s="1"/>
  <c r="AR85" i="10"/>
  <c r="BL85" i="10" s="1"/>
  <c r="BF84" i="10"/>
  <c r="BF23" i="10"/>
  <c r="BF52" i="10"/>
  <c r="AY103" i="10"/>
  <c r="BI103" i="10" s="1"/>
  <c r="AS86" i="10"/>
  <c r="BM86" i="10" s="1"/>
  <c r="AT86" i="10"/>
  <c r="BN86" i="10" s="1"/>
  <c r="BM85" i="10"/>
  <c r="AU55" i="10"/>
  <c r="BO55" i="10" s="1"/>
  <c r="AU25" i="10"/>
  <c r="BO25" i="10" s="1"/>
  <c r="AU72" i="10"/>
  <c r="AZ72" i="10" s="1"/>
  <c r="BJ72" i="10" s="1"/>
  <c r="AR96" i="10"/>
  <c r="BL96" i="10" s="1"/>
  <c r="AS96" i="10"/>
  <c r="BM96" i="10" s="1"/>
  <c r="AU54" i="10"/>
  <c r="BO54" i="10" s="1"/>
  <c r="AS83" i="10"/>
  <c r="BM83" i="10" s="1"/>
  <c r="AS21" i="10"/>
  <c r="BM21" i="10" s="1"/>
  <c r="AS49" i="10"/>
  <c r="BM49" i="10" s="1"/>
  <c r="AS17" i="10"/>
  <c r="BM17" i="10" s="1"/>
  <c r="AQ70" i="10"/>
  <c r="BK70" i="10" s="1"/>
  <c r="AQ15" i="10"/>
  <c r="BK15" i="10" s="1"/>
  <c r="AS91" i="10"/>
  <c r="BM91" i="10" s="1"/>
  <c r="AS81" i="10"/>
  <c r="BM81" i="10" s="1"/>
  <c r="AQ32" i="10"/>
  <c r="AV32" i="10" s="1"/>
  <c r="BF32" i="10" s="1"/>
  <c r="AT32" i="10"/>
  <c r="AY32" i="10" s="1"/>
  <c r="BI32" i="10" s="1"/>
  <c r="AU31" i="10"/>
  <c r="BO31" i="10" s="1"/>
  <c r="AQ29" i="10"/>
  <c r="BK29" i="10" s="1"/>
  <c r="BI95" i="10"/>
  <c r="BN95" i="10"/>
  <c r="AR94" i="10"/>
  <c r="BL94" i="10" s="1"/>
  <c r="AQ19" i="10"/>
  <c r="BK19" i="10" s="1"/>
  <c r="AT68" i="10"/>
  <c r="BN68" i="10" s="1"/>
  <c r="AT92" i="10"/>
  <c r="BN92" i="10" s="1"/>
  <c r="BO47" i="10"/>
  <c r="BO90" i="10"/>
  <c r="BG9" i="10"/>
  <c r="AR64" i="10"/>
  <c r="AW64" i="10" s="1"/>
  <c r="BG64" i="10" s="1"/>
  <c r="BL8" i="10"/>
  <c r="AQ97" i="10"/>
  <c r="AV97" i="10" s="1"/>
  <c r="BF97" i="10" s="1"/>
  <c r="AU97" i="10"/>
  <c r="AZ97" i="10" s="1"/>
  <c r="BJ97" i="10" s="1"/>
  <c r="AQ50" i="10"/>
  <c r="BK50" i="10" s="1"/>
  <c r="AS9" i="10"/>
  <c r="AX9" i="10" s="1"/>
  <c r="BH9" i="10" s="1"/>
  <c r="AY67" i="10"/>
  <c r="BI67" i="10" s="1"/>
  <c r="AZ83" i="10"/>
  <c r="BJ83" i="10" s="1"/>
  <c r="AS22" i="10"/>
  <c r="BM22" i="10" s="1"/>
  <c r="AU22" i="10"/>
  <c r="AZ22" i="10" s="1"/>
  <c r="BJ22" i="10" s="1"/>
  <c r="AR18" i="10"/>
  <c r="AW18" i="10" s="1"/>
  <c r="BG18" i="10" s="1"/>
  <c r="AT18" i="10"/>
  <c r="BN18" i="10" s="1"/>
  <c r="AQ18" i="10"/>
  <c r="BK18" i="10" s="1"/>
  <c r="AS14" i="10"/>
  <c r="BM14" i="10" s="1"/>
  <c r="AR14" i="10"/>
  <c r="AW14" i="10" s="1"/>
  <c r="BG14" i="10" s="1"/>
  <c r="AV53" i="10"/>
  <c r="BF53" i="10" s="1"/>
  <c r="AQ20" i="10"/>
  <c r="BK20" i="10" s="1"/>
  <c r="AH80" i="8"/>
  <c r="AL80" i="8"/>
  <c r="AH8" i="8"/>
  <c r="AL8" i="8"/>
  <c r="AH44" i="8"/>
  <c r="AL44" i="8"/>
  <c r="AH9" i="8"/>
  <c r="AL9" i="8"/>
  <c r="AH10" i="8"/>
  <c r="AL10" i="8"/>
  <c r="AH88" i="8"/>
  <c r="AL88" i="8"/>
  <c r="AH11" i="8"/>
  <c r="AL11" i="8"/>
  <c r="AH45" i="8"/>
  <c r="AL45" i="8"/>
  <c r="AH65" i="8"/>
  <c r="AL65" i="8"/>
  <c r="AH89" i="8"/>
  <c r="AL89" i="8"/>
  <c r="AH90" i="8"/>
  <c r="AL90" i="8"/>
  <c r="AH46" i="8"/>
  <c r="AL46" i="8"/>
  <c r="AH66" i="8"/>
  <c r="AL66" i="8"/>
  <c r="AH91" i="8"/>
  <c r="AL91" i="8"/>
  <c r="AH81" i="8"/>
  <c r="AL81" i="8"/>
  <c r="AH67" i="8"/>
  <c r="AL67" i="8"/>
  <c r="AH12" i="8"/>
  <c r="AL12" i="8"/>
  <c r="AH13" i="8"/>
  <c r="AL13" i="8"/>
  <c r="AH14" i="8"/>
  <c r="AL14" i="8"/>
  <c r="AH15" i="8"/>
  <c r="AL15" i="8"/>
  <c r="AH16" i="8"/>
  <c r="AL16" i="8"/>
  <c r="AH47" i="8"/>
  <c r="AL47" i="8"/>
  <c r="AH17" i="8"/>
  <c r="AL17" i="8"/>
  <c r="AH48" i="8"/>
  <c r="AL48" i="8"/>
  <c r="AH18" i="8"/>
  <c r="AL18" i="8"/>
  <c r="AH19" i="8"/>
  <c r="AL19" i="8"/>
  <c r="AH20" i="8"/>
  <c r="AL20" i="8"/>
  <c r="AH68" i="8"/>
  <c r="AL68" i="8"/>
  <c r="AH21" i="8"/>
  <c r="AL21" i="8"/>
  <c r="AH82" i="8"/>
  <c r="AL82" i="8"/>
  <c r="AH49" i="8"/>
  <c r="AL49" i="8"/>
  <c r="AH50" i="8"/>
  <c r="AL50" i="8"/>
  <c r="AH51" i="8"/>
  <c r="AL51" i="8"/>
  <c r="AH92" i="8"/>
  <c r="AL92" i="8"/>
  <c r="AH69" i="8"/>
  <c r="AL69" i="8"/>
  <c r="AH52" i="8"/>
  <c r="AL52" i="8"/>
  <c r="AH93" i="8"/>
  <c r="AL93" i="8"/>
  <c r="AH22" i="8"/>
  <c r="AL22" i="8"/>
  <c r="AH94" i="8"/>
  <c r="AL94" i="8"/>
  <c r="AH70" i="8"/>
  <c r="AL70" i="8"/>
  <c r="AH53" i="8"/>
  <c r="AL53" i="8"/>
  <c r="AH23" i="8"/>
  <c r="AL23" i="8"/>
  <c r="AH71" i="8"/>
  <c r="AL71" i="8"/>
  <c r="AH83" i="8"/>
  <c r="AL83" i="8"/>
  <c r="AH24" i="8"/>
  <c r="AL24" i="8"/>
  <c r="AH54" i="8"/>
  <c r="AL54" i="8"/>
  <c r="AH84" i="8"/>
  <c r="AL84" i="8"/>
  <c r="AH95" i="8"/>
  <c r="AL95" i="8"/>
  <c r="AH25" i="8"/>
  <c r="AL25" i="8"/>
  <c r="AH26" i="8"/>
  <c r="AL26" i="8"/>
  <c r="AH85" i="8"/>
  <c r="AL85" i="8"/>
  <c r="AH27" i="8"/>
  <c r="AL27" i="8"/>
  <c r="AH72" i="8"/>
  <c r="AL72" i="8"/>
  <c r="AH96" i="8"/>
  <c r="AL96" i="8"/>
  <c r="AH97" i="8"/>
  <c r="AL97" i="8"/>
  <c r="AH28" i="8"/>
  <c r="AL28" i="8"/>
  <c r="AH29" i="8"/>
  <c r="AL29" i="8"/>
  <c r="AH55" i="8"/>
  <c r="AL55" i="8"/>
  <c r="AH56" i="8"/>
  <c r="AL56" i="8"/>
  <c r="AH30" i="8"/>
  <c r="AL30" i="8"/>
  <c r="AH31" i="8"/>
  <c r="AL31" i="8"/>
  <c r="AH32" i="8"/>
  <c r="AL32" i="8"/>
  <c r="AH33" i="8"/>
  <c r="AL33" i="8"/>
  <c r="AH73" i="8"/>
  <c r="AL73" i="8"/>
  <c r="AH98" i="8"/>
  <c r="AL98" i="8"/>
  <c r="AH99" i="8"/>
  <c r="AL99" i="8"/>
  <c r="AH74" i="8"/>
  <c r="AL74" i="8"/>
  <c r="AH100" i="8"/>
  <c r="AL100" i="8"/>
  <c r="AH34" i="8"/>
  <c r="AL34" i="8"/>
  <c r="AH35" i="8"/>
  <c r="AL35" i="8"/>
  <c r="AH36" i="8"/>
  <c r="AL36" i="8"/>
  <c r="AH37" i="8"/>
  <c r="AL37" i="8"/>
  <c r="AH101" i="8"/>
  <c r="AL101" i="8"/>
  <c r="AH102" i="8"/>
  <c r="AL102" i="8"/>
  <c r="AH75" i="8"/>
  <c r="AL75" i="8"/>
  <c r="AH103" i="8"/>
  <c r="AL103" i="8"/>
  <c r="AH38" i="8"/>
  <c r="AL38" i="8"/>
  <c r="AH39" i="8"/>
  <c r="AL39" i="8"/>
  <c r="AH40" i="8"/>
  <c r="AL40" i="8"/>
  <c r="AH41" i="8"/>
  <c r="AL41" i="8"/>
  <c r="AH57" i="8"/>
  <c r="AL57" i="8"/>
  <c r="AH58" i="8"/>
  <c r="AL58" i="8"/>
  <c r="AH59" i="8"/>
  <c r="AL59" i="8"/>
  <c r="AH60" i="8"/>
  <c r="AL60" i="8"/>
  <c r="I11" i="8"/>
  <c r="I45" i="8"/>
  <c r="I65" i="8"/>
  <c r="I89" i="8"/>
  <c r="I90" i="8"/>
  <c r="I46" i="8"/>
  <c r="I66" i="8"/>
  <c r="I91" i="8"/>
  <c r="I81" i="8"/>
  <c r="I67" i="8"/>
  <c r="I12" i="8"/>
  <c r="I13" i="8"/>
  <c r="DL14" i="10" s="1"/>
  <c r="I14" i="8"/>
  <c r="I15" i="8"/>
  <c r="I16" i="8"/>
  <c r="I47" i="8"/>
  <c r="I17" i="8"/>
  <c r="I48" i="8"/>
  <c r="I18" i="8"/>
  <c r="DL19" i="10" s="1"/>
  <c r="I19" i="8"/>
  <c r="DL20" i="10" s="1"/>
  <c r="I20" i="8"/>
  <c r="I68" i="8"/>
  <c r="I21" i="8"/>
  <c r="I82" i="8"/>
  <c r="I49" i="8"/>
  <c r="I50" i="8"/>
  <c r="DL51" i="10" s="1"/>
  <c r="I51" i="8"/>
  <c r="I92" i="8"/>
  <c r="I69" i="8"/>
  <c r="I52" i="8"/>
  <c r="I93" i="8"/>
  <c r="I22" i="8"/>
  <c r="I94" i="8"/>
  <c r="I70" i="8"/>
  <c r="I53" i="8"/>
  <c r="I23" i="8"/>
  <c r="I71" i="8"/>
  <c r="I83" i="8"/>
  <c r="I24" i="8"/>
  <c r="I54" i="8"/>
  <c r="I84" i="8"/>
  <c r="I95" i="8"/>
  <c r="I25" i="8"/>
  <c r="I26" i="8"/>
  <c r="I85" i="8"/>
  <c r="I27" i="8"/>
  <c r="I72" i="8"/>
  <c r="I96" i="8"/>
  <c r="I97" i="8"/>
  <c r="I28" i="8"/>
  <c r="I29" i="8"/>
  <c r="I55" i="8"/>
  <c r="I56" i="8"/>
  <c r="I30" i="8"/>
  <c r="I31" i="8"/>
  <c r="I32" i="8"/>
  <c r="I33" i="8"/>
  <c r="I73" i="8"/>
  <c r="I98" i="8"/>
  <c r="I99" i="8"/>
  <c r="I74" i="8"/>
  <c r="I100" i="8"/>
  <c r="I34" i="8"/>
  <c r="I35" i="8"/>
  <c r="I36" i="8"/>
  <c r="I37" i="8"/>
  <c r="I101" i="8"/>
  <c r="I102" i="8"/>
  <c r="I75" i="8"/>
  <c r="I103" i="8"/>
  <c r="I38" i="8"/>
  <c r="I39" i="8"/>
  <c r="DL40" i="10" s="1"/>
  <c r="I40" i="8"/>
  <c r="I41" i="8"/>
  <c r="I57" i="8"/>
  <c r="DL58" i="10" s="1"/>
  <c r="I58" i="8"/>
  <c r="DL59" i="10" s="1"/>
  <c r="I59" i="8"/>
  <c r="I60" i="8"/>
  <c r="I7" i="8"/>
  <c r="I79" i="8"/>
  <c r="I63" i="8"/>
  <c r="I64" i="8"/>
  <c r="I80" i="8"/>
  <c r="I8" i="8"/>
  <c r="I44" i="8"/>
  <c r="I9" i="8"/>
  <c r="I10" i="8"/>
  <c r="I88" i="8"/>
  <c r="J102" i="8"/>
  <c r="J75" i="8"/>
  <c r="J103" i="8"/>
  <c r="J38" i="8"/>
  <c r="J39" i="8"/>
  <c r="J40" i="8"/>
  <c r="J41" i="8"/>
  <c r="J57" i="8"/>
  <c r="J58" i="8"/>
  <c r="J59" i="8"/>
  <c r="J60" i="8"/>
  <c r="J33" i="8"/>
  <c r="J73" i="8"/>
  <c r="J98" i="8"/>
  <c r="J99" i="8"/>
  <c r="J74" i="8"/>
  <c r="J100" i="8"/>
  <c r="J34" i="8"/>
  <c r="J35" i="8"/>
  <c r="J36" i="8"/>
  <c r="J37" i="8"/>
  <c r="J101" i="8"/>
  <c r="J20" i="8"/>
  <c r="J68" i="8"/>
  <c r="J21" i="8"/>
  <c r="J82" i="8"/>
  <c r="J49" i="8"/>
  <c r="J50" i="8"/>
  <c r="J51" i="8"/>
  <c r="J92" i="8"/>
  <c r="J69" i="8"/>
  <c r="J52" i="8"/>
  <c r="J93" i="8"/>
  <c r="J22" i="8"/>
  <c r="J94" i="8"/>
  <c r="J70" i="8"/>
  <c r="J53" i="8"/>
  <c r="J23" i="8"/>
  <c r="J71" i="8"/>
  <c r="J83" i="8"/>
  <c r="J24" i="8"/>
  <c r="J54" i="8"/>
  <c r="J84" i="8"/>
  <c r="J95" i="8"/>
  <c r="J25" i="8"/>
  <c r="J26" i="8"/>
  <c r="J85" i="8"/>
  <c r="J27" i="8"/>
  <c r="J72" i="8"/>
  <c r="J96" i="8"/>
  <c r="J97" i="8"/>
  <c r="J28" i="8"/>
  <c r="J29" i="8"/>
  <c r="J55" i="8"/>
  <c r="J56" i="8"/>
  <c r="J30" i="8"/>
  <c r="J31" i="8"/>
  <c r="J32" i="8"/>
  <c r="J67" i="8"/>
  <c r="J12" i="8"/>
  <c r="J13" i="8"/>
  <c r="J14" i="8"/>
  <c r="J16" i="8"/>
  <c r="J47" i="8"/>
  <c r="J17" i="8"/>
  <c r="J48" i="8"/>
  <c r="J18" i="8"/>
  <c r="J19" i="8"/>
  <c r="J10" i="8"/>
  <c r="J88" i="8"/>
  <c r="J11" i="8"/>
  <c r="J65" i="8"/>
  <c r="J89" i="8"/>
  <c r="J90" i="8"/>
  <c r="J46" i="8"/>
  <c r="J66" i="8"/>
  <c r="J91" i="8"/>
  <c r="J81" i="8"/>
  <c r="J7" i="8"/>
  <c r="J63" i="8"/>
  <c r="J80" i="8"/>
  <c r="J8" i="8"/>
  <c r="J44" i="8"/>
  <c r="J9" i="8"/>
  <c r="AH7" i="8"/>
  <c r="AL7" i="8"/>
  <c r="AH63" i="8"/>
  <c r="AH76" i="8" s="1"/>
  <c r="AL63" i="8"/>
  <c r="AL76" i="8" s="1"/>
  <c r="AH64" i="8"/>
  <c r="AL64" i="8"/>
  <c r="M33" i="8"/>
  <c r="M73" i="8"/>
  <c r="M98" i="8"/>
  <c r="R98" i="8" s="1"/>
  <c r="M99" i="8"/>
  <c r="N99" i="8" s="1"/>
  <c r="M74" i="8"/>
  <c r="M100" i="8"/>
  <c r="M34" i="8"/>
  <c r="L34" i="8" s="1"/>
  <c r="M35" i="8"/>
  <c r="M36" i="8"/>
  <c r="M37" i="8"/>
  <c r="M101" i="8"/>
  <c r="M102" i="8"/>
  <c r="M75" i="8"/>
  <c r="M103" i="8"/>
  <c r="M38" i="8"/>
  <c r="M39" i="8"/>
  <c r="M40" i="8"/>
  <c r="M41" i="8"/>
  <c r="M57" i="8"/>
  <c r="M58" i="8"/>
  <c r="L58" i="8" s="1"/>
  <c r="M59" i="8"/>
  <c r="M60" i="8"/>
  <c r="M22" i="8"/>
  <c r="N22" i="8" s="1"/>
  <c r="M94" i="8"/>
  <c r="M70" i="8"/>
  <c r="M53" i="8"/>
  <c r="M23" i="8"/>
  <c r="N23" i="8" s="1"/>
  <c r="M71" i="8"/>
  <c r="M83" i="8"/>
  <c r="M24" i="8"/>
  <c r="M54" i="8"/>
  <c r="M84" i="8"/>
  <c r="M95" i="8"/>
  <c r="M25" i="8"/>
  <c r="M26" i="8"/>
  <c r="M85" i="8"/>
  <c r="M27" i="8"/>
  <c r="M72" i="8"/>
  <c r="M96" i="8"/>
  <c r="R96" i="8" s="1"/>
  <c r="M97" i="8"/>
  <c r="M28" i="8"/>
  <c r="L28" i="8" s="1"/>
  <c r="M29" i="8"/>
  <c r="M55" i="8"/>
  <c r="N55" i="8" s="1"/>
  <c r="M56" i="8"/>
  <c r="R56" i="8" s="1"/>
  <c r="M30" i="8"/>
  <c r="M31" i="8"/>
  <c r="M32" i="8"/>
  <c r="L32" i="8" s="1"/>
  <c r="M90" i="8"/>
  <c r="M46" i="8"/>
  <c r="M66" i="8"/>
  <c r="M91" i="8"/>
  <c r="M81" i="8"/>
  <c r="M67" i="8"/>
  <c r="M12" i="8"/>
  <c r="M13" i="8"/>
  <c r="M14" i="8"/>
  <c r="M16" i="8"/>
  <c r="M47" i="8"/>
  <c r="M17" i="8"/>
  <c r="M48" i="8"/>
  <c r="M18" i="8"/>
  <c r="L18" i="8" s="1"/>
  <c r="M19" i="8"/>
  <c r="M20" i="8"/>
  <c r="M68" i="8"/>
  <c r="M21" i="8"/>
  <c r="M82" i="8"/>
  <c r="M49" i="8"/>
  <c r="L49" i="8" s="1"/>
  <c r="M50" i="8"/>
  <c r="M51" i="8"/>
  <c r="M92" i="8"/>
  <c r="M69" i="8"/>
  <c r="N69" i="8" s="1"/>
  <c r="M52" i="8"/>
  <c r="M93" i="8"/>
  <c r="M7" i="8"/>
  <c r="M63" i="8"/>
  <c r="N63" i="8" s="1"/>
  <c r="M80" i="8"/>
  <c r="M8" i="8"/>
  <c r="M44" i="8"/>
  <c r="L44" i="8" s="1"/>
  <c r="M9" i="8"/>
  <c r="M10" i="8"/>
  <c r="M88" i="8"/>
  <c r="M11" i="8"/>
  <c r="N11" i="8" s="1"/>
  <c r="M65" i="8"/>
  <c r="M89" i="8"/>
  <c r="CE87" i="10" l="1"/>
  <c r="CD77" i="10"/>
  <c r="DC64" i="10"/>
  <c r="DB77" i="10"/>
  <c r="CE77" i="10"/>
  <c r="CB106" i="10"/>
  <c r="DC45" i="10"/>
  <c r="DB62" i="10"/>
  <c r="DC79" i="10"/>
  <c r="DB87" i="10"/>
  <c r="CE105" i="10"/>
  <c r="DC89" i="10"/>
  <c r="DB105" i="10"/>
  <c r="CD105" i="10"/>
  <c r="CC106" i="10"/>
  <c r="CD43" i="10"/>
  <c r="CE43" i="10"/>
  <c r="DC8" i="10"/>
  <c r="DB43" i="10"/>
  <c r="DB106" i="10" s="1"/>
  <c r="BI79" i="10"/>
  <c r="AL61" i="8"/>
  <c r="AH61" i="8"/>
  <c r="AL42" i="8"/>
  <c r="AH42" i="8"/>
  <c r="R23" i="8"/>
  <c r="BF23" i="8" s="1"/>
  <c r="N32" i="8"/>
  <c r="BB32" i="8" s="1"/>
  <c r="DL42" i="10"/>
  <c r="DL38" i="10"/>
  <c r="DL39" i="10"/>
  <c r="DL60" i="10"/>
  <c r="DL86" i="10"/>
  <c r="DL85" i="10"/>
  <c r="DL21" i="10"/>
  <c r="BC107" i="10"/>
  <c r="BK79" i="10"/>
  <c r="BH80" i="10"/>
  <c r="BB107" i="10"/>
  <c r="BL79" i="10"/>
  <c r="BI80" i="10"/>
  <c r="N96" i="8"/>
  <c r="BK80" i="10"/>
  <c r="BG80" i="10"/>
  <c r="DL61" i="10"/>
  <c r="DL102" i="10"/>
  <c r="DL100" i="10"/>
  <c r="DL92" i="10"/>
  <c r="DJ92" i="10" s="1"/>
  <c r="DL46" i="10"/>
  <c r="DL103" i="10"/>
  <c r="DL67" i="10"/>
  <c r="DL98" i="10"/>
  <c r="DL30" i="10"/>
  <c r="DL101" i="10"/>
  <c r="DL97" i="10"/>
  <c r="DL37" i="10"/>
  <c r="BF56" i="8"/>
  <c r="BB99" i="8"/>
  <c r="BF96" i="8"/>
  <c r="Z65" i="8"/>
  <c r="Y65" i="8"/>
  <c r="AB65" i="8"/>
  <c r="U65" i="8"/>
  <c r="AT65" i="8" s="1"/>
  <c r="V65" i="8"/>
  <c r="AU65" i="8" s="1"/>
  <c r="S65" i="8"/>
  <c r="AR65" i="8" s="1"/>
  <c r="AW65" i="8" s="1"/>
  <c r="X65" i="8"/>
  <c r="W65" i="8"/>
  <c r="AV65" i="8" s="1"/>
  <c r="BA65" i="8" s="1"/>
  <c r="O65" i="8"/>
  <c r="BC65" i="8" s="1"/>
  <c r="T65" i="8"/>
  <c r="AS65" i="8" s="1"/>
  <c r="AX65" i="8" s="1"/>
  <c r="AA65" i="8"/>
  <c r="Q65" i="8"/>
  <c r="P65" i="8"/>
  <c r="AA50" i="8"/>
  <c r="AB50" i="8"/>
  <c r="Y50" i="8"/>
  <c r="X50" i="8"/>
  <c r="T50" i="8"/>
  <c r="AS50" i="8" s="1"/>
  <c r="AX50" i="8" s="1"/>
  <c r="Z50" i="8"/>
  <c r="U50" i="8"/>
  <c r="AT50" i="8" s="1"/>
  <c r="Q50" i="8"/>
  <c r="W50" i="8"/>
  <c r="AV50" i="8" s="1"/>
  <c r="BA50" i="8" s="1"/>
  <c r="S50" i="8"/>
  <c r="AR50" i="8" s="1"/>
  <c r="P50" i="8"/>
  <c r="BD50" i="8" s="1"/>
  <c r="V50" i="8"/>
  <c r="O50" i="8"/>
  <c r="BC50" i="8" s="1"/>
  <c r="X81" i="8"/>
  <c r="AB81" i="8"/>
  <c r="AA81" i="8"/>
  <c r="Y81" i="8"/>
  <c r="U81" i="8"/>
  <c r="Z81" i="8"/>
  <c r="T81" i="8"/>
  <c r="AS81" i="8" s="1"/>
  <c r="AX81" i="8" s="1"/>
  <c r="W81" i="8"/>
  <c r="AV81" i="8" s="1"/>
  <c r="O81" i="8"/>
  <c r="V81" i="8"/>
  <c r="P81" i="8"/>
  <c r="BD81" i="8" s="1"/>
  <c r="Q81" i="8"/>
  <c r="BE81" i="8" s="1"/>
  <c r="S81" i="8"/>
  <c r="X85" i="8"/>
  <c r="AB85" i="8"/>
  <c r="Y85" i="8"/>
  <c r="T85" i="8"/>
  <c r="Z85" i="8"/>
  <c r="U85" i="8"/>
  <c r="AT85" i="8" s="1"/>
  <c r="AY85" i="8" s="1"/>
  <c r="W85" i="8"/>
  <c r="AV85" i="8" s="1"/>
  <c r="O85" i="8"/>
  <c r="AA85" i="8"/>
  <c r="V85" i="8"/>
  <c r="AU85" i="8" s="1"/>
  <c r="AZ85" i="8" s="1"/>
  <c r="S85" i="8"/>
  <c r="AR85" i="8" s="1"/>
  <c r="AW85" i="8" s="1"/>
  <c r="Q85" i="8"/>
  <c r="BE85" i="8" s="1"/>
  <c r="P85" i="8"/>
  <c r="Z94" i="8"/>
  <c r="X94" i="8"/>
  <c r="AB94" i="8"/>
  <c r="AA94" i="8"/>
  <c r="T94" i="8"/>
  <c r="AS94" i="8" s="1"/>
  <c r="U94" i="8"/>
  <c r="AT94" i="8" s="1"/>
  <c r="AY94" i="8" s="1"/>
  <c r="Y94" i="8"/>
  <c r="W94" i="8"/>
  <c r="S94" i="8"/>
  <c r="AR94" i="8" s="1"/>
  <c r="AW94" i="8" s="1"/>
  <c r="O94" i="8"/>
  <c r="BC94" i="8" s="1"/>
  <c r="V94" i="8"/>
  <c r="AU94" i="8" s="1"/>
  <c r="AZ94" i="8" s="1"/>
  <c r="P94" i="8"/>
  <c r="Q94" i="8"/>
  <c r="BE94" i="8" s="1"/>
  <c r="Y35" i="8"/>
  <c r="Z35" i="8"/>
  <c r="T35" i="8"/>
  <c r="AA35" i="8"/>
  <c r="U35" i="8"/>
  <c r="AT35" i="8" s="1"/>
  <c r="P35" i="8"/>
  <c r="X35" i="8"/>
  <c r="W35" i="8"/>
  <c r="AV35" i="8" s="1"/>
  <c r="BA35" i="8" s="1"/>
  <c r="Q35" i="8"/>
  <c r="BE35" i="8" s="1"/>
  <c r="AB35" i="8"/>
  <c r="O35" i="8"/>
  <c r="S35" i="8"/>
  <c r="AR35" i="8" s="1"/>
  <c r="V35" i="8"/>
  <c r="AU35" i="8" s="1"/>
  <c r="BB11" i="8"/>
  <c r="BF98" i="8"/>
  <c r="L11" i="8"/>
  <c r="X11" i="8"/>
  <c r="AB11" i="8"/>
  <c r="Y11" i="8"/>
  <c r="AA11" i="8"/>
  <c r="U11" i="8"/>
  <c r="AT11" i="8" s="1"/>
  <c r="AY11" i="8" s="1"/>
  <c r="T11" i="8"/>
  <c r="W11" i="8"/>
  <c r="AV11" i="8" s="1"/>
  <c r="Q11" i="8"/>
  <c r="O11" i="8"/>
  <c r="V11" i="8"/>
  <c r="AU11" i="8" s="1"/>
  <c r="AZ11" i="8" s="1"/>
  <c r="S11" i="8"/>
  <c r="AR11" i="8" s="1"/>
  <c r="P11" i="8"/>
  <c r="BD11" i="8" s="1"/>
  <c r="Z11" i="8"/>
  <c r="BN11" i="8" s="1"/>
  <c r="N49" i="8"/>
  <c r="X49" i="8"/>
  <c r="AB49" i="8"/>
  <c r="AA49" i="8"/>
  <c r="Y49" i="8"/>
  <c r="U49" i="8"/>
  <c r="AT49" i="8" s="1"/>
  <c r="AY49" i="8" s="1"/>
  <c r="T49" i="8"/>
  <c r="AS49" i="8" s="1"/>
  <c r="Z49" i="8"/>
  <c r="W49" i="8"/>
  <c r="AV49" i="8" s="1"/>
  <c r="O49" i="8"/>
  <c r="V49" i="8"/>
  <c r="P49" i="8"/>
  <c r="S49" i="8"/>
  <c r="Q49" i="8"/>
  <c r="Y32" i="8"/>
  <c r="AB32" i="8"/>
  <c r="T32" i="8"/>
  <c r="AS32" i="8" s="1"/>
  <c r="AX32" i="8" s="1"/>
  <c r="X32" i="8"/>
  <c r="U32" i="8"/>
  <c r="AT32" i="8" s="1"/>
  <c r="AA32" i="8"/>
  <c r="P32" i="8"/>
  <c r="BD32" i="8" s="1"/>
  <c r="W32" i="8"/>
  <c r="AV32" i="8" s="1"/>
  <c r="BA32" i="8" s="1"/>
  <c r="Q32" i="8"/>
  <c r="Z32" i="8"/>
  <c r="S32" i="8"/>
  <c r="O32" i="8"/>
  <c r="V32" i="8"/>
  <c r="AU32" i="8" s="1"/>
  <c r="L22" i="8"/>
  <c r="AA22" i="8"/>
  <c r="Y22" i="8"/>
  <c r="X22" i="8"/>
  <c r="T22" i="8"/>
  <c r="AS22" i="8" s="1"/>
  <c r="AX22" i="8" s="1"/>
  <c r="Z22" i="8"/>
  <c r="U22" i="8"/>
  <c r="AT22" i="8" s="1"/>
  <c r="P22" i="8"/>
  <c r="BD22" i="8" s="1"/>
  <c r="W22" i="8"/>
  <c r="AV22" i="8" s="1"/>
  <c r="BA22" i="8" s="1"/>
  <c r="Q22" i="8"/>
  <c r="AB22" i="8"/>
  <c r="S22" i="8"/>
  <c r="AR22" i="8" s="1"/>
  <c r="AW22" i="8" s="1"/>
  <c r="O22" i="8"/>
  <c r="V22" i="8"/>
  <c r="AU22" i="8" s="1"/>
  <c r="L98" i="8"/>
  <c r="Z98" i="8"/>
  <c r="X98" i="8"/>
  <c r="T98" i="8"/>
  <c r="S98" i="8"/>
  <c r="Y98" i="8"/>
  <c r="U98" i="8"/>
  <c r="AT98" i="8" s="1"/>
  <c r="W98" i="8"/>
  <c r="O98" i="8"/>
  <c r="AB98" i="8"/>
  <c r="V98" i="8"/>
  <c r="AU98" i="8" s="1"/>
  <c r="AZ98" i="8" s="1"/>
  <c r="Q98" i="8"/>
  <c r="P98" i="8"/>
  <c r="BD98" i="8" s="1"/>
  <c r="AA98" i="8"/>
  <c r="AA9" i="8"/>
  <c r="X9" i="8"/>
  <c r="Z9" i="8"/>
  <c r="U9" i="8"/>
  <c r="AT9" i="8" s="1"/>
  <c r="Y9" i="8"/>
  <c r="T9" i="8"/>
  <c r="AS9" i="8" s="1"/>
  <c r="AB9" i="8"/>
  <c r="V9" i="8"/>
  <c r="AU9" i="8" s="1"/>
  <c r="AZ9" i="8" s="1"/>
  <c r="S9" i="8"/>
  <c r="AR9" i="8" s="1"/>
  <c r="AW9" i="8" s="1"/>
  <c r="Q9" i="8"/>
  <c r="BE9" i="8" s="1"/>
  <c r="W9" i="8"/>
  <c r="AV9" i="8" s="1"/>
  <c r="P9" i="8"/>
  <c r="BD9" i="8" s="1"/>
  <c r="O9" i="8"/>
  <c r="AA52" i="8"/>
  <c r="X52" i="8"/>
  <c r="Z52" i="8"/>
  <c r="Y52" i="8"/>
  <c r="T52" i="8"/>
  <c r="AS52" i="8" s="1"/>
  <c r="AX52" i="8" s="1"/>
  <c r="AB52" i="8"/>
  <c r="U52" i="8"/>
  <c r="AT52" i="8" s="1"/>
  <c r="AY52" i="8" s="1"/>
  <c r="S52" i="8"/>
  <c r="AR52" i="8" s="1"/>
  <c r="AW52" i="8" s="1"/>
  <c r="Q52" i="8"/>
  <c r="W52" i="8"/>
  <c r="P52" i="8"/>
  <c r="O52" i="8"/>
  <c r="BC52" i="8" s="1"/>
  <c r="V52" i="8"/>
  <c r="AU52" i="8" s="1"/>
  <c r="AZ52" i="8" s="1"/>
  <c r="AA48" i="8"/>
  <c r="Y48" i="8"/>
  <c r="AB48" i="8"/>
  <c r="U48" i="8"/>
  <c r="AT48" i="8" s="1"/>
  <c r="T48" i="8"/>
  <c r="AS48" i="8" s="1"/>
  <c r="X48" i="8"/>
  <c r="V48" i="8"/>
  <c r="AU48" i="8" s="1"/>
  <c r="AZ48" i="8" s="1"/>
  <c r="Q48" i="8"/>
  <c r="BE48" i="8" s="1"/>
  <c r="S48" i="8"/>
  <c r="P48" i="8"/>
  <c r="O48" i="8"/>
  <c r="BC48" i="8" s="1"/>
  <c r="Z48" i="8"/>
  <c r="W48" i="8"/>
  <c r="X90" i="8"/>
  <c r="AB90" i="8"/>
  <c r="Z90" i="8"/>
  <c r="U90" i="8"/>
  <c r="AT90" i="8" s="1"/>
  <c r="AY90" i="8" s="1"/>
  <c r="Y90" i="8"/>
  <c r="T90" i="8"/>
  <c r="AS90" i="8" s="1"/>
  <c r="W90" i="8"/>
  <c r="O90" i="8"/>
  <c r="S90" i="8"/>
  <c r="AR90" i="8" s="1"/>
  <c r="V90" i="8"/>
  <c r="AU90" i="8" s="1"/>
  <c r="P90" i="8"/>
  <c r="BD90" i="8" s="1"/>
  <c r="Q90" i="8"/>
  <c r="AA90" i="8"/>
  <c r="X97" i="8"/>
  <c r="AB97" i="8"/>
  <c r="Z97" i="8"/>
  <c r="T97" i="8"/>
  <c r="AS97" i="8" s="1"/>
  <c r="AA97" i="8"/>
  <c r="U97" i="8"/>
  <c r="AT97" i="8" s="1"/>
  <c r="AY97" i="8" s="1"/>
  <c r="W97" i="8"/>
  <c r="AV97" i="8" s="1"/>
  <c r="Y97" i="8"/>
  <c r="S97" i="8"/>
  <c r="AR97" i="8" s="1"/>
  <c r="AW97" i="8" s="1"/>
  <c r="O97" i="8"/>
  <c r="BC97" i="8" s="1"/>
  <c r="V97" i="8"/>
  <c r="P97" i="8"/>
  <c r="BD97" i="8" s="1"/>
  <c r="Q97" i="8"/>
  <c r="BE97" i="8" s="1"/>
  <c r="X84" i="8"/>
  <c r="AB84" i="8"/>
  <c r="T84" i="8"/>
  <c r="Y84" i="8"/>
  <c r="U84" i="8"/>
  <c r="AT84" i="8" s="1"/>
  <c r="AY84" i="8" s="1"/>
  <c r="AA84" i="8"/>
  <c r="W84" i="8"/>
  <c r="AV84" i="8" s="1"/>
  <c r="S84" i="8"/>
  <c r="AR84" i="8" s="1"/>
  <c r="O84" i="8"/>
  <c r="Z84" i="8"/>
  <c r="V84" i="8"/>
  <c r="AU84" i="8" s="1"/>
  <c r="P84" i="8"/>
  <c r="Q84" i="8"/>
  <c r="BE84" i="8" s="1"/>
  <c r="Y58" i="8"/>
  <c r="X58" i="8"/>
  <c r="T58" i="8"/>
  <c r="Z58" i="8"/>
  <c r="U58" i="8"/>
  <c r="P58" i="8"/>
  <c r="BD58" i="8" s="1"/>
  <c r="AB58" i="8"/>
  <c r="W58" i="8"/>
  <c r="AV58" i="8" s="1"/>
  <c r="BA58" i="8" s="1"/>
  <c r="S58" i="8"/>
  <c r="AR58" i="8" s="1"/>
  <c r="Q58" i="8"/>
  <c r="O58" i="8"/>
  <c r="BC58" i="8" s="1"/>
  <c r="AA58" i="8"/>
  <c r="V58" i="8"/>
  <c r="AU58" i="8" s="1"/>
  <c r="Y102" i="8"/>
  <c r="AA102" i="8"/>
  <c r="T102" i="8"/>
  <c r="AB102" i="8"/>
  <c r="U102" i="8"/>
  <c r="S102" i="8"/>
  <c r="AR102" i="8" s="1"/>
  <c r="AW102" i="8" s="1"/>
  <c r="P102" i="8"/>
  <c r="BD102" i="8" s="1"/>
  <c r="Z102" i="8"/>
  <c r="W102" i="8"/>
  <c r="AV102" i="8" s="1"/>
  <c r="BA102" i="8" s="1"/>
  <c r="Q102" i="8"/>
  <c r="BE102" i="8" s="1"/>
  <c r="X102" i="8"/>
  <c r="V102" i="8"/>
  <c r="AU102" i="8" s="1"/>
  <c r="AZ102" i="8" s="1"/>
  <c r="O102" i="8"/>
  <c r="BB63" i="8"/>
  <c r="BB55" i="8"/>
  <c r="N44" i="8"/>
  <c r="X44" i="8"/>
  <c r="AB44" i="8"/>
  <c r="Z44" i="8"/>
  <c r="U44" i="8"/>
  <c r="T44" i="8"/>
  <c r="P44" i="8"/>
  <c r="AA44" i="8"/>
  <c r="W44" i="8"/>
  <c r="O44" i="8"/>
  <c r="S44" i="8"/>
  <c r="Y44" i="8"/>
  <c r="V44" i="8"/>
  <c r="Q44" i="8"/>
  <c r="L63" i="8"/>
  <c r="Z63" i="8"/>
  <c r="X63" i="8"/>
  <c r="AB63" i="8"/>
  <c r="AA63" i="8"/>
  <c r="U63" i="8"/>
  <c r="Y63" i="8"/>
  <c r="T63" i="8"/>
  <c r="W63" i="8"/>
  <c r="P63" i="8"/>
  <c r="O63" i="8"/>
  <c r="V63" i="8"/>
  <c r="Q63" i="8"/>
  <c r="S63" i="8"/>
  <c r="L69" i="8"/>
  <c r="X69" i="8"/>
  <c r="AB69" i="8"/>
  <c r="Z69" i="8"/>
  <c r="T69" i="8"/>
  <c r="AS69" i="8" s="1"/>
  <c r="U69" i="8"/>
  <c r="AT69" i="8" s="1"/>
  <c r="AY69" i="8" s="1"/>
  <c r="AA69" i="8"/>
  <c r="W69" i="8"/>
  <c r="AV69" i="8" s="1"/>
  <c r="O69" i="8"/>
  <c r="Y69" i="8"/>
  <c r="V69" i="8"/>
  <c r="AU69" i="8" s="1"/>
  <c r="AZ69" i="8" s="1"/>
  <c r="S69" i="8"/>
  <c r="Q69" i="8"/>
  <c r="P69" i="8"/>
  <c r="BD69" i="8" s="1"/>
  <c r="L20" i="8"/>
  <c r="X20" i="8"/>
  <c r="AB20" i="8"/>
  <c r="Z20" i="8"/>
  <c r="U20" i="8"/>
  <c r="AT20" i="8" s="1"/>
  <c r="AY20" i="8" s="1"/>
  <c r="AA20" i="8"/>
  <c r="T20" i="8"/>
  <c r="AS20" i="8" s="1"/>
  <c r="AX20" i="8" s="1"/>
  <c r="Y20" i="8"/>
  <c r="W20" i="8"/>
  <c r="AV20" i="8" s="1"/>
  <c r="O20" i="8"/>
  <c r="S20" i="8"/>
  <c r="AR20" i="8" s="1"/>
  <c r="Q20" i="8"/>
  <c r="BE20" i="8" s="1"/>
  <c r="V20" i="8"/>
  <c r="P20" i="8"/>
  <c r="L17" i="8"/>
  <c r="X17" i="8"/>
  <c r="AB17" i="8"/>
  <c r="Y17" i="8"/>
  <c r="AA17" i="8"/>
  <c r="U17" i="8"/>
  <c r="AT17" i="8" s="1"/>
  <c r="AY17" i="8" s="1"/>
  <c r="Z17" i="8"/>
  <c r="T17" i="8"/>
  <c r="AS17" i="8" s="1"/>
  <c r="AX17" i="8" s="1"/>
  <c r="W17" i="8"/>
  <c r="AV17" i="8" s="1"/>
  <c r="O17" i="8"/>
  <c r="V17" i="8"/>
  <c r="AU17" i="8" s="1"/>
  <c r="P17" i="8"/>
  <c r="S17" i="8"/>
  <c r="AR17" i="8" s="1"/>
  <c r="Q17" i="8"/>
  <c r="N13" i="8"/>
  <c r="Y13" i="8"/>
  <c r="AB13" i="8"/>
  <c r="Z13" i="8"/>
  <c r="U13" i="8"/>
  <c r="AT13" i="8" s="1"/>
  <c r="AY13" i="8" s="1"/>
  <c r="W13" i="8"/>
  <c r="AV13" i="8" s="1"/>
  <c r="BA13" i="8" s="1"/>
  <c r="S13" i="8"/>
  <c r="AR13" i="8" s="1"/>
  <c r="AA13" i="8"/>
  <c r="V13" i="8"/>
  <c r="AU13" i="8" s="1"/>
  <c r="P13" i="8"/>
  <c r="Q13" i="8"/>
  <c r="X13" i="8"/>
  <c r="T13" i="8"/>
  <c r="AS13" i="8" s="1"/>
  <c r="AX13" i="8" s="1"/>
  <c r="O13" i="8"/>
  <c r="L91" i="8"/>
  <c r="Y91" i="8"/>
  <c r="AA91" i="8"/>
  <c r="X91" i="8"/>
  <c r="U91" i="8"/>
  <c r="AT91" i="8" s="1"/>
  <c r="AY91" i="8" s="1"/>
  <c r="AB91" i="8"/>
  <c r="W91" i="8"/>
  <c r="AV91" i="8" s="1"/>
  <c r="BA91" i="8" s="1"/>
  <c r="S91" i="8"/>
  <c r="AR91" i="8" s="1"/>
  <c r="BL91" i="8" s="1"/>
  <c r="Z91" i="8"/>
  <c r="P91" i="8"/>
  <c r="V91" i="8"/>
  <c r="AU91" i="8" s="1"/>
  <c r="BO91" i="8" s="1"/>
  <c r="Q91" i="8"/>
  <c r="O91" i="8"/>
  <c r="T91" i="8"/>
  <c r="AS91" i="8" s="1"/>
  <c r="AX91" i="8" s="1"/>
  <c r="Y55" i="8"/>
  <c r="AA55" i="8"/>
  <c r="T55" i="8"/>
  <c r="AB55" i="8"/>
  <c r="U55" i="8"/>
  <c r="AT55" i="8" s="1"/>
  <c r="AY55" i="8" s="1"/>
  <c r="Z55" i="8"/>
  <c r="S55" i="8"/>
  <c r="AR55" i="8" s="1"/>
  <c r="AW55" i="8" s="1"/>
  <c r="P55" i="8"/>
  <c r="BD55" i="8" s="1"/>
  <c r="W55" i="8"/>
  <c r="AV55" i="8" s="1"/>
  <c r="BA55" i="8" s="1"/>
  <c r="Q55" i="8"/>
  <c r="X55" i="8"/>
  <c r="O55" i="8"/>
  <c r="V55" i="8"/>
  <c r="AU55" i="8" s="1"/>
  <c r="L96" i="8"/>
  <c r="Y96" i="8"/>
  <c r="Z96" i="8"/>
  <c r="T96" i="8"/>
  <c r="AS96" i="8" s="1"/>
  <c r="AX96" i="8" s="1"/>
  <c r="AA96" i="8"/>
  <c r="U96" i="8"/>
  <c r="AT96" i="8" s="1"/>
  <c r="AY96" i="8" s="1"/>
  <c r="X96" i="8"/>
  <c r="P96" i="8"/>
  <c r="BD96" i="8" s="1"/>
  <c r="W96" i="8"/>
  <c r="Q96" i="8"/>
  <c r="AB96" i="8"/>
  <c r="O96" i="8"/>
  <c r="V96" i="8"/>
  <c r="AU96" i="8" s="1"/>
  <c r="S96" i="8"/>
  <c r="AR96" i="8" s="1"/>
  <c r="AW96" i="8" s="1"/>
  <c r="L26" i="8"/>
  <c r="Y26" i="8"/>
  <c r="X26" i="8"/>
  <c r="T26" i="8"/>
  <c r="AS26" i="8" s="1"/>
  <c r="AX26" i="8" s="1"/>
  <c r="Z26" i="8"/>
  <c r="U26" i="8"/>
  <c r="AT26" i="8" s="1"/>
  <c r="AY26" i="8" s="1"/>
  <c r="P26" i="8"/>
  <c r="AB26" i="8"/>
  <c r="W26" i="8"/>
  <c r="AV26" i="8" s="1"/>
  <c r="S26" i="8"/>
  <c r="AR26" i="8" s="1"/>
  <c r="Q26" i="8"/>
  <c r="BE26" i="8" s="1"/>
  <c r="AA26" i="8"/>
  <c r="V26" i="8"/>
  <c r="AU26" i="8" s="1"/>
  <c r="O26" i="8"/>
  <c r="N54" i="8"/>
  <c r="Y54" i="8"/>
  <c r="AB54" i="8"/>
  <c r="T54" i="8"/>
  <c r="AS54" i="8" s="1"/>
  <c r="AX54" i="8" s="1"/>
  <c r="X54" i="8"/>
  <c r="U54" i="8"/>
  <c r="AT54" i="8" s="1"/>
  <c r="AY54" i="8" s="1"/>
  <c r="P54" i="8"/>
  <c r="AA54" i="8"/>
  <c r="W54" i="8"/>
  <c r="AV54" i="8" s="1"/>
  <c r="Q54" i="8"/>
  <c r="S54" i="8"/>
  <c r="AR54" i="8" s="1"/>
  <c r="Z54" i="8"/>
  <c r="O54" i="8"/>
  <c r="V54" i="8"/>
  <c r="AU54" i="8" s="1"/>
  <c r="L23" i="8"/>
  <c r="AA23" i="8"/>
  <c r="Y23" i="8"/>
  <c r="AB23" i="8"/>
  <c r="T23" i="8"/>
  <c r="AS23" i="8" s="1"/>
  <c r="AX23" i="8" s="1"/>
  <c r="U23" i="8"/>
  <c r="AT23" i="8" s="1"/>
  <c r="Z23" i="8"/>
  <c r="S23" i="8"/>
  <c r="P23" i="8"/>
  <c r="BD23" i="8" s="1"/>
  <c r="W23" i="8"/>
  <c r="Q23" i="8"/>
  <c r="X23" i="8"/>
  <c r="O23" i="8"/>
  <c r="V23" i="8"/>
  <c r="AU23" i="8" s="1"/>
  <c r="Z57" i="8"/>
  <c r="X57" i="8"/>
  <c r="T57" i="8"/>
  <c r="AS57" i="8" s="1"/>
  <c r="AX57" i="8" s="1"/>
  <c r="S57" i="8"/>
  <c r="Y57" i="8"/>
  <c r="U57" i="8"/>
  <c r="AT57" i="8" s="1"/>
  <c r="AY57" i="8" s="1"/>
  <c r="AB57" i="8"/>
  <c r="W57" i="8"/>
  <c r="AV57" i="8" s="1"/>
  <c r="O57" i="8"/>
  <c r="BC57" i="8" s="1"/>
  <c r="AA57" i="8"/>
  <c r="V57" i="8"/>
  <c r="AU57" i="8" s="1"/>
  <c r="Q57" i="8"/>
  <c r="P57" i="8"/>
  <c r="Z38" i="8"/>
  <c r="AB38" i="8"/>
  <c r="T38" i="8"/>
  <c r="AS38" i="8" s="1"/>
  <c r="AX38" i="8" s="1"/>
  <c r="S38" i="8"/>
  <c r="X38" i="8"/>
  <c r="U38" i="8"/>
  <c r="AT38" i="8" s="1"/>
  <c r="AY38" i="8" s="1"/>
  <c r="AA38" i="8"/>
  <c r="W38" i="8"/>
  <c r="AV38" i="8" s="1"/>
  <c r="BA38" i="8" s="1"/>
  <c r="O38" i="8"/>
  <c r="BC38" i="8" s="1"/>
  <c r="Y38" i="8"/>
  <c r="V38" i="8"/>
  <c r="AU38" i="8" s="1"/>
  <c r="Q38" i="8"/>
  <c r="P38" i="8"/>
  <c r="BD38" i="8" s="1"/>
  <c r="Z101" i="8"/>
  <c r="AA101" i="8"/>
  <c r="T101" i="8"/>
  <c r="AS101" i="8" s="1"/>
  <c r="AX101" i="8" s="1"/>
  <c r="S101" i="8"/>
  <c r="AR101" i="8" s="1"/>
  <c r="AB101" i="8"/>
  <c r="U101" i="8"/>
  <c r="AT101" i="8" s="1"/>
  <c r="AY101" i="8" s="1"/>
  <c r="Y101" i="8"/>
  <c r="W101" i="8"/>
  <c r="AV101" i="8" s="1"/>
  <c r="O101" i="8"/>
  <c r="BC101" i="8" s="1"/>
  <c r="X101" i="8"/>
  <c r="V101" i="8"/>
  <c r="Q101" i="8"/>
  <c r="P101" i="8"/>
  <c r="BD101" i="8" s="1"/>
  <c r="Z34" i="8"/>
  <c r="Y34" i="8"/>
  <c r="T34" i="8"/>
  <c r="AS34" i="8" s="1"/>
  <c r="S34" i="8"/>
  <c r="AA34" i="8"/>
  <c r="U34" i="8"/>
  <c r="AT34" i="8" s="1"/>
  <c r="X34" i="8"/>
  <c r="W34" i="8"/>
  <c r="O34" i="8"/>
  <c r="BC34" i="8" s="1"/>
  <c r="V34" i="8"/>
  <c r="AU34" i="8" s="1"/>
  <c r="AB34" i="8"/>
  <c r="Q34" i="8"/>
  <c r="BE34" i="8" s="1"/>
  <c r="P34" i="8"/>
  <c r="BD34" i="8" s="1"/>
  <c r="R63" i="8"/>
  <c r="R11" i="8"/>
  <c r="R22" i="8"/>
  <c r="R69" i="8"/>
  <c r="L48" i="8"/>
  <c r="Y88" i="8"/>
  <c r="X88" i="8"/>
  <c r="AA88" i="8"/>
  <c r="U88" i="8"/>
  <c r="Z88" i="8"/>
  <c r="W88" i="8"/>
  <c r="AV88" i="8" s="1"/>
  <c r="AB88" i="8"/>
  <c r="S88" i="8"/>
  <c r="V88" i="8"/>
  <c r="P88" i="8"/>
  <c r="BD88" i="8" s="1"/>
  <c r="O88" i="8"/>
  <c r="BC88" i="8" s="1"/>
  <c r="Q88" i="8"/>
  <c r="T88" i="8"/>
  <c r="AS88" i="8" s="1"/>
  <c r="AX88" i="8" s="1"/>
  <c r="AA8" i="8"/>
  <c r="Y8" i="8"/>
  <c r="AB8" i="8"/>
  <c r="X8" i="8"/>
  <c r="U8" i="8"/>
  <c r="AT8" i="8" s="1"/>
  <c r="AY8" i="8" s="1"/>
  <c r="W8" i="8"/>
  <c r="AV8" i="8" s="1"/>
  <c r="BA8" i="8" s="1"/>
  <c r="Z8" i="8"/>
  <c r="S8" i="8"/>
  <c r="AR8" i="8" s="1"/>
  <c r="V8" i="8"/>
  <c r="AU8" i="8" s="1"/>
  <c r="BO8" i="8" s="1"/>
  <c r="Q8" i="8"/>
  <c r="BE8" i="8" s="1"/>
  <c r="T8" i="8"/>
  <c r="AS8" i="8" s="1"/>
  <c r="AX8" i="8" s="1"/>
  <c r="O8" i="8"/>
  <c r="P8" i="8"/>
  <c r="X7" i="8"/>
  <c r="AB7" i="8"/>
  <c r="Z7" i="8"/>
  <c r="Y7" i="8"/>
  <c r="U7" i="8"/>
  <c r="V7" i="8"/>
  <c r="S7" i="8"/>
  <c r="W7" i="8"/>
  <c r="T7" i="8"/>
  <c r="O7" i="8"/>
  <c r="AA7" i="8"/>
  <c r="P7" i="8"/>
  <c r="Q7" i="8"/>
  <c r="Y92" i="8"/>
  <c r="AB92" i="8"/>
  <c r="Z92" i="8"/>
  <c r="X92" i="8"/>
  <c r="T92" i="8"/>
  <c r="AA92" i="8"/>
  <c r="U92" i="8"/>
  <c r="S92" i="8"/>
  <c r="AR92" i="8" s="1"/>
  <c r="P92" i="8"/>
  <c r="W92" i="8"/>
  <c r="Q92" i="8"/>
  <c r="BE92" i="8" s="1"/>
  <c r="V92" i="8"/>
  <c r="O92" i="8"/>
  <c r="AD92" i="8" s="1"/>
  <c r="Y82" i="8"/>
  <c r="AA82" i="8"/>
  <c r="X82" i="8"/>
  <c r="U82" i="8"/>
  <c r="W82" i="8"/>
  <c r="AV82" i="8" s="1"/>
  <c r="Z82" i="8"/>
  <c r="S82" i="8"/>
  <c r="AR82" i="8" s="1"/>
  <c r="P82" i="8"/>
  <c r="V82" i="8"/>
  <c r="AU82" i="8" s="1"/>
  <c r="AZ82" i="8" s="1"/>
  <c r="Q82" i="8"/>
  <c r="BE82" i="8" s="1"/>
  <c r="AB82" i="8"/>
  <c r="O82" i="8"/>
  <c r="BC82" i="8" s="1"/>
  <c r="T82" i="8"/>
  <c r="Y19" i="8"/>
  <c r="Z19" i="8"/>
  <c r="AB19" i="8"/>
  <c r="U19" i="8"/>
  <c r="W19" i="8"/>
  <c r="AV19" i="8" s="1"/>
  <c r="X19" i="8"/>
  <c r="S19" i="8"/>
  <c r="AR19" i="8" s="1"/>
  <c r="AW19" i="8" s="1"/>
  <c r="V19" i="8"/>
  <c r="AU19" i="8" s="1"/>
  <c r="P19" i="8"/>
  <c r="BD19" i="8" s="1"/>
  <c r="Q19" i="8"/>
  <c r="BE19" i="8" s="1"/>
  <c r="AA19" i="8"/>
  <c r="T19" i="8"/>
  <c r="O19" i="8"/>
  <c r="BC19" i="8" s="1"/>
  <c r="Y47" i="8"/>
  <c r="X47" i="8"/>
  <c r="AA47" i="8"/>
  <c r="U47" i="8"/>
  <c r="W47" i="8"/>
  <c r="AV47" i="8" s="1"/>
  <c r="S47" i="8"/>
  <c r="AR47" i="8" s="1"/>
  <c r="AB47" i="8"/>
  <c r="P47" i="8"/>
  <c r="BD47" i="8" s="1"/>
  <c r="V47" i="8"/>
  <c r="AU47" i="8" s="1"/>
  <c r="AZ47" i="8" s="1"/>
  <c r="Q47" i="8"/>
  <c r="BE47" i="8" s="1"/>
  <c r="Z47" i="8"/>
  <c r="T47" i="8"/>
  <c r="AS47" i="8" s="1"/>
  <c r="AX47" i="8" s="1"/>
  <c r="O47" i="8"/>
  <c r="BC47" i="8" s="1"/>
  <c r="Z12" i="8"/>
  <c r="AB12" i="8"/>
  <c r="Y12" i="8"/>
  <c r="U12" i="8"/>
  <c r="AT12" i="8" s="1"/>
  <c r="X12" i="8"/>
  <c r="V12" i="8"/>
  <c r="AU12" i="8" s="1"/>
  <c r="AZ12" i="8" s="1"/>
  <c r="S12" i="8"/>
  <c r="AR12" i="8" s="1"/>
  <c r="AW12" i="8" s="1"/>
  <c r="AA12" i="8"/>
  <c r="W12" i="8"/>
  <c r="AV12" i="8" s="1"/>
  <c r="BA12" i="8" s="1"/>
  <c r="O12" i="8"/>
  <c r="T12" i="8"/>
  <c r="AS12" i="8" s="1"/>
  <c r="AX12" i="8" s="1"/>
  <c r="Q12" i="8"/>
  <c r="P12" i="8"/>
  <c r="BD12" i="8" s="1"/>
  <c r="Z66" i="8"/>
  <c r="AA66" i="8"/>
  <c r="X66" i="8"/>
  <c r="U66" i="8"/>
  <c r="AT66" i="8" s="1"/>
  <c r="V66" i="8"/>
  <c r="AU66" i="8" s="1"/>
  <c r="AZ66" i="8" s="1"/>
  <c r="S66" i="8"/>
  <c r="AR66" i="8" s="1"/>
  <c r="AW66" i="8" s="1"/>
  <c r="Y66" i="8"/>
  <c r="W66" i="8"/>
  <c r="AV66" i="8" s="1"/>
  <c r="BA66" i="8" s="1"/>
  <c r="T66" i="8"/>
  <c r="AS66" i="8" s="1"/>
  <c r="O66" i="8"/>
  <c r="BC66" i="8" s="1"/>
  <c r="AB66" i="8"/>
  <c r="Q66" i="8"/>
  <c r="P66" i="8"/>
  <c r="Z31" i="8"/>
  <c r="AB31" i="8"/>
  <c r="T31" i="8"/>
  <c r="AS31" i="8" s="1"/>
  <c r="S31" i="8"/>
  <c r="AR31" i="8" s="1"/>
  <c r="AW31" i="8" s="1"/>
  <c r="X31" i="8"/>
  <c r="U31" i="8"/>
  <c r="AT31" i="8" s="1"/>
  <c r="W31" i="8"/>
  <c r="AV31" i="8" s="1"/>
  <c r="BA31" i="8" s="1"/>
  <c r="O31" i="8"/>
  <c r="AA31" i="8"/>
  <c r="V31" i="8"/>
  <c r="AU31" i="8" s="1"/>
  <c r="AZ31" i="8" s="1"/>
  <c r="Q31" i="8"/>
  <c r="BE31" i="8" s="1"/>
  <c r="Y31" i="8"/>
  <c r="P31" i="8"/>
  <c r="BD31" i="8" s="1"/>
  <c r="Z29" i="8"/>
  <c r="AA29" i="8"/>
  <c r="T29" i="8"/>
  <c r="AS29" i="8" s="1"/>
  <c r="S29" i="8"/>
  <c r="AR29" i="8" s="1"/>
  <c r="AW29" i="8" s="1"/>
  <c r="AB29" i="8"/>
  <c r="U29" i="8"/>
  <c r="AT29" i="8" s="1"/>
  <c r="W29" i="8"/>
  <c r="AV29" i="8" s="1"/>
  <c r="BA29" i="8" s="1"/>
  <c r="O29" i="8"/>
  <c r="BC29" i="8" s="1"/>
  <c r="Y29" i="8"/>
  <c r="V29" i="8"/>
  <c r="AU29" i="8" s="1"/>
  <c r="AZ29" i="8" s="1"/>
  <c r="Q29" i="8"/>
  <c r="P29" i="8"/>
  <c r="BD29" i="8" s="1"/>
  <c r="X29" i="8"/>
  <c r="Z72" i="8"/>
  <c r="Y72" i="8"/>
  <c r="T72" i="8"/>
  <c r="AS72" i="8" s="1"/>
  <c r="S72" i="8"/>
  <c r="AR72" i="8" s="1"/>
  <c r="AA72" i="8"/>
  <c r="U72" i="8"/>
  <c r="AT72" i="8" s="1"/>
  <c r="W72" i="8"/>
  <c r="AV72" i="8" s="1"/>
  <c r="BA72" i="8" s="1"/>
  <c r="O72" i="8"/>
  <c r="BC72" i="8" s="1"/>
  <c r="X72" i="8"/>
  <c r="AB72" i="8"/>
  <c r="V72" i="8"/>
  <c r="AU72" i="8" s="1"/>
  <c r="Q72" i="8"/>
  <c r="BE72" i="8" s="1"/>
  <c r="P72" i="8"/>
  <c r="BD72" i="8" s="1"/>
  <c r="Z25" i="8"/>
  <c r="X25" i="8"/>
  <c r="T25" i="8"/>
  <c r="S25" i="8"/>
  <c r="AR25" i="8" s="1"/>
  <c r="AW25" i="8" s="1"/>
  <c r="Y25" i="8"/>
  <c r="U25" i="8"/>
  <c r="AT25" i="8" s="1"/>
  <c r="AB25" i="8"/>
  <c r="W25" i="8"/>
  <c r="AV25" i="8" s="1"/>
  <c r="O25" i="8"/>
  <c r="AA25" i="8"/>
  <c r="V25" i="8"/>
  <c r="AU25" i="8" s="1"/>
  <c r="Q25" i="8"/>
  <c r="BE25" i="8" s="1"/>
  <c r="P25" i="8"/>
  <c r="X24" i="8"/>
  <c r="Z24" i="8"/>
  <c r="AB24" i="8"/>
  <c r="T24" i="8"/>
  <c r="AS24" i="8" s="1"/>
  <c r="AX24" i="8" s="1"/>
  <c r="S24" i="8"/>
  <c r="AR24" i="8" s="1"/>
  <c r="AW24" i="8" s="1"/>
  <c r="U24" i="8"/>
  <c r="AT24" i="8" s="1"/>
  <c r="BN24" i="8" s="1"/>
  <c r="AA24" i="8"/>
  <c r="W24" i="8"/>
  <c r="AV24" i="8" s="1"/>
  <c r="BA24" i="8" s="1"/>
  <c r="O24" i="8"/>
  <c r="BC24" i="8" s="1"/>
  <c r="Y24" i="8"/>
  <c r="V24" i="8"/>
  <c r="AU24" i="8" s="1"/>
  <c r="AZ24" i="8" s="1"/>
  <c r="P24" i="8"/>
  <c r="Q24" i="8"/>
  <c r="BE24" i="8" s="1"/>
  <c r="X53" i="8"/>
  <c r="AB53" i="8"/>
  <c r="Z53" i="8"/>
  <c r="Y53" i="8"/>
  <c r="T53" i="8"/>
  <c r="AS53" i="8" s="1"/>
  <c r="S53" i="8"/>
  <c r="AR53" i="8" s="1"/>
  <c r="AW53" i="8" s="1"/>
  <c r="AA53" i="8"/>
  <c r="U53" i="8"/>
  <c r="AT53" i="8" s="1"/>
  <c r="W53" i="8"/>
  <c r="AV53" i="8" s="1"/>
  <c r="BA53" i="8" s="1"/>
  <c r="O53" i="8"/>
  <c r="BC53" i="8" s="1"/>
  <c r="V53" i="8"/>
  <c r="Q53" i="8"/>
  <c r="BE53" i="8" s="1"/>
  <c r="P53" i="8"/>
  <c r="BD53" i="8" s="1"/>
  <c r="AA60" i="8"/>
  <c r="Y60" i="8"/>
  <c r="T60" i="8"/>
  <c r="AS60" i="8" s="1"/>
  <c r="Z60" i="8"/>
  <c r="U60" i="8"/>
  <c r="AT60" i="8" s="1"/>
  <c r="X60" i="8"/>
  <c r="S60" i="8"/>
  <c r="AR60" i="8" s="1"/>
  <c r="AW60" i="8" s="1"/>
  <c r="Q60" i="8"/>
  <c r="W60" i="8"/>
  <c r="P60" i="8"/>
  <c r="AB60" i="8"/>
  <c r="V60" i="8"/>
  <c r="O60" i="8"/>
  <c r="BC60" i="8" s="1"/>
  <c r="AA41" i="8"/>
  <c r="X41" i="8"/>
  <c r="T41" i="8"/>
  <c r="AS41" i="8" s="1"/>
  <c r="AX41" i="8" s="1"/>
  <c r="Y41" i="8"/>
  <c r="U41" i="8"/>
  <c r="AT41" i="8" s="1"/>
  <c r="Q41" i="8"/>
  <c r="BE41" i="8" s="1"/>
  <c r="AB41" i="8"/>
  <c r="W41" i="8"/>
  <c r="P41" i="8"/>
  <c r="Z41" i="8"/>
  <c r="V41" i="8"/>
  <c r="S41" i="8"/>
  <c r="AR41" i="8" s="1"/>
  <c r="AW41" i="8" s="1"/>
  <c r="O41" i="8"/>
  <c r="AA103" i="8"/>
  <c r="AB103" i="8"/>
  <c r="T103" i="8"/>
  <c r="AS103" i="8" s="1"/>
  <c r="AX103" i="8" s="1"/>
  <c r="X103" i="8"/>
  <c r="U103" i="8"/>
  <c r="AT103" i="8" s="1"/>
  <c r="AY103" i="8" s="1"/>
  <c r="Q103" i="8"/>
  <c r="BE103" i="8" s="1"/>
  <c r="Z103" i="8"/>
  <c r="W103" i="8"/>
  <c r="S103" i="8"/>
  <c r="AR103" i="8" s="1"/>
  <c r="AW103" i="8" s="1"/>
  <c r="P103" i="8"/>
  <c r="BD103" i="8" s="1"/>
  <c r="Y103" i="8"/>
  <c r="V103" i="8"/>
  <c r="O103" i="8"/>
  <c r="BC103" i="8" s="1"/>
  <c r="AA37" i="8"/>
  <c r="Z37" i="8"/>
  <c r="T37" i="8"/>
  <c r="AS37" i="8" s="1"/>
  <c r="AB37" i="8"/>
  <c r="U37" i="8"/>
  <c r="AT37" i="8" s="1"/>
  <c r="Q37" i="8"/>
  <c r="BE37" i="8" s="1"/>
  <c r="Y37" i="8"/>
  <c r="W37" i="8"/>
  <c r="P37" i="8"/>
  <c r="BD37" i="8" s="1"/>
  <c r="S37" i="8"/>
  <c r="AR37" i="8" s="1"/>
  <c r="AW37" i="8" s="1"/>
  <c r="X37" i="8"/>
  <c r="V37" i="8"/>
  <c r="O37" i="8"/>
  <c r="BC37" i="8" s="1"/>
  <c r="AA100" i="8"/>
  <c r="Y100" i="8"/>
  <c r="T100" i="8"/>
  <c r="AS100" i="8" s="1"/>
  <c r="AX100" i="8" s="1"/>
  <c r="Z100" i="8"/>
  <c r="U100" i="8"/>
  <c r="AT100" i="8" s="1"/>
  <c r="S100" i="8"/>
  <c r="AR100" i="8" s="1"/>
  <c r="AW100" i="8" s="1"/>
  <c r="Q100" i="8"/>
  <c r="BE100" i="8" s="1"/>
  <c r="X100" i="8"/>
  <c r="W100" i="8"/>
  <c r="P100" i="8"/>
  <c r="AB100" i="8"/>
  <c r="V100" i="8"/>
  <c r="O100" i="8"/>
  <c r="BC100" i="8" s="1"/>
  <c r="AA73" i="8"/>
  <c r="X73" i="8"/>
  <c r="T73" i="8"/>
  <c r="AS73" i="8" s="1"/>
  <c r="Y73" i="8"/>
  <c r="U73" i="8"/>
  <c r="AT73" i="8" s="1"/>
  <c r="AB73" i="8"/>
  <c r="Q73" i="8"/>
  <c r="W73" i="8"/>
  <c r="AV73" i="8" s="1"/>
  <c r="P73" i="8"/>
  <c r="Z73" i="8"/>
  <c r="V73" i="8"/>
  <c r="AU73" i="8" s="1"/>
  <c r="AZ73" i="8" s="1"/>
  <c r="O73" i="8"/>
  <c r="BC73" i="8" s="1"/>
  <c r="S73" i="8"/>
  <c r="AR73" i="8" s="1"/>
  <c r="AW73" i="8" s="1"/>
  <c r="R7" i="8"/>
  <c r="R88" i="8"/>
  <c r="N98" i="8"/>
  <c r="R32" i="8"/>
  <c r="R55" i="8"/>
  <c r="R85" i="8"/>
  <c r="N58" i="8"/>
  <c r="L13" i="8"/>
  <c r="L38" i="8"/>
  <c r="L54" i="8"/>
  <c r="BL48" i="10"/>
  <c r="BA107" i="10"/>
  <c r="BO80" i="10"/>
  <c r="Y64" i="8"/>
  <c r="AA64" i="8"/>
  <c r="Z64" i="8"/>
  <c r="U64" i="8"/>
  <c r="AT64" i="8" s="1"/>
  <c r="AY64" i="8" s="1"/>
  <c r="T64" i="8"/>
  <c r="AS64" i="8" s="1"/>
  <c r="AX64" i="8" s="1"/>
  <c r="V64" i="8"/>
  <c r="AB64" i="8"/>
  <c r="S64" i="8"/>
  <c r="AR64" i="8" s="1"/>
  <c r="Q64" i="8"/>
  <c r="X64" i="8"/>
  <c r="W64" i="8"/>
  <c r="AV64" i="8" s="1"/>
  <c r="BP64" i="8" s="1"/>
  <c r="O64" i="8"/>
  <c r="BC64" i="8" s="1"/>
  <c r="P64" i="8"/>
  <c r="AA68" i="8"/>
  <c r="Z68" i="8"/>
  <c r="X68" i="8"/>
  <c r="U68" i="8"/>
  <c r="AT68" i="8" s="1"/>
  <c r="T68" i="8"/>
  <c r="AS68" i="8" s="1"/>
  <c r="AX68" i="8" s="1"/>
  <c r="Y68" i="8"/>
  <c r="V68" i="8"/>
  <c r="S68" i="8"/>
  <c r="Q68" i="8"/>
  <c r="BE68" i="8" s="1"/>
  <c r="P68" i="8"/>
  <c r="W68" i="8"/>
  <c r="AV68" i="8" s="1"/>
  <c r="AB68" i="8"/>
  <c r="O68" i="8"/>
  <c r="X14" i="8"/>
  <c r="AB14" i="8"/>
  <c r="Z14" i="8"/>
  <c r="U14" i="8"/>
  <c r="AT14" i="8" s="1"/>
  <c r="AY14" i="8" s="1"/>
  <c r="Y14" i="8"/>
  <c r="AA14" i="8"/>
  <c r="T14" i="8"/>
  <c r="AS14" i="8" s="1"/>
  <c r="AX14" i="8" s="1"/>
  <c r="W14" i="8"/>
  <c r="AV14" i="8" s="1"/>
  <c r="BA14" i="8" s="1"/>
  <c r="O14" i="8"/>
  <c r="S14" i="8"/>
  <c r="AR14" i="8" s="1"/>
  <c r="Q14" i="8"/>
  <c r="P14" i="8"/>
  <c r="BD14" i="8" s="1"/>
  <c r="V14" i="8"/>
  <c r="X56" i="8"/>
  <c r="AB56" i="8"/>
  <c r="AA56" i="8"/>
  <c r="T56" i="8"/>
  <c r="U56" i="8"/>
  <c r="AT56" i="8" s="1"/>
  <c r="AY56" i="8" s="1"/>
  <c r="W56" i="8"/>
  <c r="AV56" i="8" s="1"/>
  <c r="Z56" i="8"/>
  <c r="O56" i="8"/>
  <c r="BC56" i="8" s="1"/>
  <c r="V56" i="8"/>
  <c r="AU56" i="8" s="1"/>
  <c r="AZ56" i="8" s="1"/>
  <c r="S56" i="8"/>
  <c r="AR56" i="8" s="1"/>
  <c r="Q56" i="8"/>
  <c r="BE56" i="8" s="1"/>
  <c r="Y56" i="8"/>
  <c r="P56" i="8"/>
  <c r="BD56" i="8" s="1"/>
  <c r="Z71" i="8"/>
  <c r="X71" i="8"/>
  <c r="AB71" i="8"/>
  <c r="T71" i="8"/>
  <c r="Y71" i="8"/>
  <c r="U71" i="8"/>
  <c r="AT71" i="8" s="1"/>
  <c r="W71" i="8"/>
  <c r="AV71" i="8" s="1"/>
  <c r="BA71" i="8" s="1"/>
  <c r="O71" i="8"/>
  <c r="BC71" i="8" s="1"/>
  <c r="V71" i="8"/>
  <c r="AU71" i="8" s="1"/>
  <c r="P71" i="8"/>
  <c r="BD71" i="8" s="1"/>
  <c r="AA71" i="8"/>
  <c r="S71" i="8"/>
  <c r="AR71" i="8" s="1"/>
  <c r="AW71" i="8" s="1"/>
  <c r="Q71" i="8"/>
  <c r="Y39" i="8"/>
  <c r="AB39" i="8"/>
  <c r="T39" i="8"/>
  <c r="AS39" i="8" s="1"/>
  <c r="X39" i="8"/>
  <c r="U39" i="8"/>
  <c r="P39" i="8"/>
  <c r="AA39" i="8"/>
  <c r="W39" i="8"/>
  <c r="AV39" i="8" s="1"/>
  <c r="BA39" i="8" s="1"/>
  <c r="Q39" i="8"/>
  <c r="BE39" i="8" s="1"/>
  <c r="S39" i="8"/>
  <c r="O39" i="8"/>
  <c r="BC39" i="8" s="1"/>
  <c r="Z39" i="8"/>
  <c r="V39" i="8"/>
  <c r="AU39" i="8" s="1"/>
  <c r="AZ39" i="8" s="1"/>
  <c r="Y99" i="8"/>
  <c r="X99" i="8"/>
  <c r="T99" i="8"/>
  <c r="Z99" i="8"/>
  <c r="U99" i="8"/>
  <c r="AB99" i="8"/>
  <c r="P99" i="8"/>
  <c r="W99" i="8"/>
  <c r="AV99" i="8" s="1"/>
  <c r="BA99" i="8" s="1"/>
  <c r="S99" i="8"/>
  <c r="AR99" i="8" s="1"/>
  <c r="Q99" i="8"/>
  <c r="AA99" i="8"/>
  <c r="O99" i="8"/>
  <c r="BC99" i="8" s="1"/>
  <c r="V99" i="8"/>
  <c r="AU99" i="8" s="1"/>
  <c r="Y89" i="8"/>
  <c r="Z89" i="8"/>
  <c r="AB89" i="8"/>
  <c r="U89" i="8"/>
  <c r="AT89" i="8" s="1"/>
  <c r="AA89" i="8"/>
  <c r="W89" i="8"/>
  <c r="AV89" i="8" s="1"/>
  <c r="S89" i="8"/>
  <c r="AR89" i="8" s="1"/>
  <c r="AW89" i="8" s="1"/>
  <c r="X89" i="8"/>
  <c r="V89" i="8"/>
  <c r="AU89" i="8" s="1"/>
  <c r="AZ89" i="8" s="1"/>
  <c r="P89" i="8"/>
  <c r="Q89" i="8"/>
  <c r="BE89" i="8" s="1"/>
  <c r="T89" i="8"/>
  <c r="AS89" i="8" s="1"/>
  <c r="AX89" i="8" s="1"/>
  <c r="O89" i="8"/>
  <c r="BC89" i="8" s="1"/>
  <c r="Z10" i="8"/>
  <c r="X10" i="8"/>
  <c r="AA10" i="8"/>
  <c r="U10" i="8"/>
  <c r="AT10" i="8" s="1"/>
  <c r="V10" i="8"/>
  <c r="AU10" i="8" s="1"/>
  <c r="S10" i="8"/>
  <c r="AR10" i="8" s="1"/>
  <c r="AW10" i="8" s="1"/>
  <c r="W10" i="8"/>
  <c r="AV10" i="8" s="1"/>
  <c r="BA10" i="8" s="1"/>
  <c r="AB10" i="8"/>
  <c r="T10" i="8"/>
  <c r="AS10" i="8" s="1"/>
  <c r="AX10" i="8" s="1"/>
  <c r="P10" i="8"/>
  <c r="O10" i="8"/>
  <c r="Y10" i="8"/>
  <c r="Q10" i="8"/>
  <c r="BE10" i="8" s="1"/>
  <c r="X80" i="8"/>
  <c r="AB80" i="8"/>
  <c r="Z80" i="8"/>
  <c r="Y80" i="8"/>
  <c r="U80" i="8"/>
  <c r="AT80" i="8" s="1"/>
  <c r="AA80" i="8"/>
  <c r="V80" i="8"/>
  <c r="AU80" i="8" s="1"/>
  <c r="AZ80" i="8" s="1"/>
  <c r="S80" i="8"/>
  <c r="AR80" i="8" s="1"/>
  <c r="AW80" i="8" s="1"/>
  <c r="W80" i="8"/>
  <c r="AV80" i="8" s="1"/>
  <c r="BA80" i="8" s="1"/>
  <c r="O80" i="8"/>
  <c r="T80" i="8"/>
  <c r="AS80" i="8" s="1"/>
  <c r="AX80" i="8" s="1"/>
  <c r="P80" i="8"/>
  <c r="BD80" i="8" s="1"/>
  <c r="Q80" i="8"/>
  <c r="BE80" i="8" s="1"/>
  <c r="X93" i="8"/>
  <c r="AB93" i="8"/>
  <c r="Z93" i="8"/>
  <c r="T93" i="8"/>
  <c r="S93" i="8"/>
  <c r="AR93" i="8" s="1"/>
  <c r="AW93" i="8" s="1"/>
  <c r="U93" i="8"/>
  <c r="AT93" i="8" s="1"/>
  <c r="W93" i="8"/>
  <c r="AV93" i="8" s="1"/>
  <c r="BA93" i="8" s="1"/>
  <c r="O93" i="8"/>
  <c r="AA93" i="8"/>
  <c r="V93" i="8"/>
  <c r="AU93" i="8" s="1"/>
  <c r="AZ93" i="8" s="1"/>
  <c r="Q93" i="8"/>
  <c r="BE93" i="8" s="1"/>
  <c r="Y93" i="8"/>
  <c r="P93" i="8"/>
  <c r="Z51" i="8"/>
  <c r="AB51" i="8"/>
  <c r="Y51" i="8"/>
  <c r="T51" i="8"/>
  <c r="AS51" i="8" s="1"/>
  <c r="AX51" i="8" s="1"/>
  <c r="S51" i="8"/>
  <c r="U51" i="8"/>
  <c r="AT51" i="8" s="1"/>
  <c r="AY51" i="8" s="1"/>
  <c r="W51" i="8"/>
  <c r="O51" i="8"/>
  <c r="AA51" i="8"/>
  <c r="V51" i="8"/>
  <c r="AU51" i="8" s="1"/>
  <c r="X51" i="8"/>
  <c r="Q51" i="8"/>
  <c r="BE51" i="8" s="1"/>
  <c r="P51" i="8"/>
  <c r="BD51" i="8" s="1"/>
  <c r="Z21" i="8"/>
  <c r="AA21" i="8"/>
  <c r="X21" i="8"/>
  <c r="U21" i="8"/>
  <c r="AT21" i="8" s="1"/>
  <c r="AY21" i="8" s="1"/>
  <c r="AB21" i="8"/>
  <c r="V21" i="8"/>
  <c r="AU21" i="8" s="1"/>
  <c r="S21" i="8"/>
  <c r="W21" i="8"/>
  <c r="T21" i="8"/>
  <c r="AS21" i="8" s="1"/>
  <c r="O21" i="8"/>
  <c r="Y21" i="8"/>
  <c r="Q21" i="8"/>
  <c r="BE21" i="8" s="1"/>
  <c r="P21" i="8"/>
  <c r="Z18" i="8"/>
  <c r="Y18" i="8"/>
  <c r="AB18" i="8"/>
  <c r="U18" i="8"/>
  <c r="AT18" i="8" s="1"/>
  <c r="AA18" i="8"/>
  <c r="V18" i="8"/>
  <c r="AU18" i="8" s="1"/>
  <c r="AZ18" i="8" s="1"/>
  <c r="S18" i="8"/>
  <c r="AR18" i="8" s="1"/>
  <c r="AW18" i="8" s="1"/>
  <c r="W18" i="8"/>
  <c r="AV18" i="8" s="1"/>
  <c r="BA18" i="8" s="1"/>
  <c r="O18" i="8"/>
  <c r="X18" i="8"/>
  <c r="T18" i="8"/>
  <c r="AS18" i="8" s="1"/>
  <c r="AX18" i="8" s="1"/>
  <c r="Q18" i="8"/>
  <c r="BE18" i="8" s="1"/>
  <c r="P18" i="8"/>
  <c r="Z16" i="8"/>
  <c r="X16" i="8"/>
  <c r="AA16" i="8"/>
  <c r="U16" i="8"/>
  <c r="AT16" i="8" s="1"/>
  <c r="Y16" i="8"/>
  <c r="V16" i="8"/>
  <c r="AU16" i="8" s="1"/>
  <c r="S16" i="8"/>
  <c r="AR16" i="8" s="1"/>
  <c r="AW16" i="8" s="1"/>
  <c r="AB16" i="8"/>
  <c r="W16" i="8"/>
  <c r="AV16" i="8" s="1"/>
  <c r="BA16" i="8" s="1"/>
  <c r="T16" i="8"/>
  <c r="O16" i="8"/>
  <c r="P16" i="8"/>
  <c r="Q16" i="8"/>
  <c r="BE16" i="8" s="1"/>
  <c r="AA67" i="8"/>
  <c r="AB67" i="8"/>
  <c r="Y67" i="8"/>
  <c r="U67" i="8"/>
  <c r="AT67" i="8" s="1"/>
  <c r="AY67" i="8" s="1"/>
  <c r="T67" i="8"/>
  <c r="AS67" i="8" s="1"/>
  <c r="AX67" i="8" s="1"/>
  <c r="V67" i="8"/>
  <c r="AU67" i="8" s="1"/>
  <c r="Q67" i="8"/>
  <c r="Z67" i="8"/>
  <c r="S67" i="8"/>
  <c r="P67" i="8"/>
  <c r="X67" i="8"/>
  <c r="W67" i="8"/>
  <c r="AV67" i="8" s="1"/>
  <c r="O67" i="8"/>
  <c r="BC67" i="8" s="1"/>
  <c r="AA46" i="8"/>
  <c r="Z46" i="8"/>
  <c r="X46" i="8"/>
  <c r="U46" i="8"/>
  <c r="AT46" i="8" s="1"/>
  <c r="AY46" i="8" s="1"/>
  <c r="AB46" i="8"/>
  <c r="T46" i="8"/>
  <c r="AS46" i="8" s="1"/>
  <c r="V46" i="8"/>
  <c r="S46" i="8"/>
  <c r="AR46" i="8" s="1"/>
  <c r="Q46" i="8"/>
  <c r="Y46" i="8"/>
  <c r="P46" i="8"/>
  <c r="BD46" i="8" s="1"/>
  <c r="W46" i="8"/>
  <c r="AV46" i="8" s="1"/>
  <c r="O46" i="8"/>
  <c r="BC46" i="8" s="1"/>
  <c r="AA30" i="8"/>
  <c r="AB30" i="8"/>
  <c r="T30" i="8"/>
  <c r="AS30" i="8" s="1"/>
  <c r="X30" i="8"/>
  <c r="U30" i="8"/>
  <c r="Z30" i="8"/>
  <c r="Q30" i="8"/>
  <c r="W30" i="8"/>
  <c r="AV30" i="8" s="1"/>
  <c r="BA30" i="8" s="1"/>
  <c r="S30" i="8"/>
  <c r="AR30" i="8" s="1"/>
  <c r="P30" i="8"/>
  <c r="BD30" i="8" s="1"/>
  <c r="Y30" i="8"/>
  <c r="V30" i="8"/>
  <c r="AU30" i="8" s="1"/>
  <c r="AZ30" i="8" s="1"/>
  <c r="O30" i="8"/>
  <c r="BC30" i="8" s="1"/>
  <c r="AA28" i="8"/>
  <c r="Z28" i="8"/>
  <c r="T28" i="8"/>
  <c r="AS28" i="8" s="1"/>
  <c r="AB28" i="8"/>
  <c r="U28" i="8"/>
  <c r="AT28" i="8" s="1"/>
  <c r="AY28" i="8" s="1"/>
  <c r="Y28" i="8"/>
  <c r="Q28" i="8"/>
  <c r="BE28" i="8" s="1"/>
  <c r="W28" i="8"/>
  <c r="AV28" i="8" s="1"/>
  <c r="BA28" i="8" s="1"/>
  <c r="P28" i="8"/>
  <c r="BD28" i="8" s="1"/>
  <c r="X28" i="8"/>
  <c r="S28" i="8"/>
  <c r="AR28" i="8" s="1"/>
  <c r="V28" i="8"/>
  <c r="AU28" i="8" s="1"/>
  <c r="AZ28" i="8" s="1"/>
  <c r="O28" i="8"/>
  <c r="BC28" i="8" s="1"/>
  <c r="AA27" i="8"/>
  <c r="Y27" i="8"/>
  <c r="T27" i="8"/>
  <c r="AS27" i="8" s="1"/>
  <c r="Z27" i="8"/>
  <c r="U27" i="8"/>
  <c r="AT27" i="8" s="1"/>
  <c r="AY27" i="8" s="1"/>
  <c r="X27" i="8"/>
  <c r="S27" i="8"/>
  <c r="AR27" i="8" s="1"/>
  <c r="AW27" i="8" s="1"/>
  <c r="Q27" i="8"/>
  <c r="W27" i="8"/>
  <c r="AV27" i="8" s="1"/>
  <c r="BA27" i="8" s="1"/>
  <c r="P27" i="8"/>
  <c r="AB27" i="8"/>
  <c r="V27" i="8"/>
  <c r="AU27" i="8" s="1"/>
  <c r="AZ27" i="8" s="1"/>
  <c r="O27" i="8"/>
  <c r="BC27" i="8" s="1"/>
  <c r="AA95" i="8"/>
  <c r="X95" i="8"/>
  <c r="T95" i="8"/>
  <c r="AS95" i="8" s="1"/>
  <c r="Y95" i="8"/>
  <c r="U95" i="8"/>
  <c r="AT95" i="8" s="1"/>
  <c r="AY95" i="8" s="1"/>
  <c r="Q95" i="8"/>
  <c r="AB95" i="8"/>
  <c r="W95" i="8"/>
  <c r="AV95" i="8" s="1"/>
  <c r="BA95" i="8" s="1"/>
  <c r="P95" i="8"/>
  <c r="V95" i="8"/>
  <c r="AU95" i="8" s="1"/>
  <c r="AZ95" i="8" s="1"/>
  <c r="Z95" i="8"/>
  <c r="O95" i="8"/>
  <c r="S95" i="8"/>
  <c r="AR95" i="8" s="1"/>
  <c r="AW95" i="8" s="1"/>
  <c r="Y83" i="8"/>
  <c r="AA83" i="8"/>
  <c r="Z83" i="8"/>
  <c r="T83" i="8"/>
  <c r="AB83" i="8"/>
  <c r="U83" i="8"/>
  <c r="Q83" i="8"/>
  <c r="X83" i="8"/>
  <c r="W83" i="8"/>
  <c r="AV83" i="8" s="1"/>
  <c r="BA83" i="8" s="1"/>
  <c r="S83" i="8"/>
  <c r="AR83" i="8" s="1"/>
  <c r="P83" i="8"/>
  <c r="V83" i="8"/>
  <c r="AU83" i="8" s="1"/>
  <c r="AZ83" i="8" s="1"/>
  <c r="O83" i="8"/>
  <c r="BC83" i="8" s="1"/>
  <c r="L70" i="8"/>
  <c r="Y70" i="8"/>
  <c r="AA70" i="8"/>
  <c r="T70" i="8"/>
  <c r="AS70" i="8" s="1"/>
  <c r="AX70" i="8" s="1"/>
  <c r="X70" i="8"/>
  <c r="U70" i="8"/>
  <c r="AT70" i="8" s="1"/>
  <c r="AY70" i="8" s="1"/>
  <c r="Q70" i="8"/>
  <c r="AB70" i="8"/>
  <c r="W70" i="8"/>
  <c r="AV70" i="8" s="1"/>
  <c r="BA70" i="8" s="1"/>
  <c r="P70" i="8"/>
  <c r="S70" i="8"/>
  <c r="AR70" i="8" s="1"/>
  <c r="AW70" i="8" s="1"/>
  <c r="V70" i="8"/>
  <c r="AU70" i="8" s="1"/>
  <c r="AZ70" i="8" s="1"/>
  <c r="O70" i="8"/>
  <c r="BC70" i="8" s="1"/>
  <c r="Z70" i="8"/>
  <c r="X59" i="8"/>
  <c r="AB59" i="8"/>
  <c r="Y59" i="8"/>
  <c r="T59" i="8"/>
  <c r="AS59" i="8" s="1"/>
  <c r="Z59" i="8"/>
  <c r="U59" i="8"/>
  <c r="W59" i="8"/>
  <c r="AV59" i="8" s="1"/>
  <c r="O59" i="8"/>
  <c r="AA59" i="8"/>
  <c r="V59" i="8"/>
  <c r="S59" i="8"/>
  <c r="AR59" i="8" s="1"/>
  <c r="AW59" i="8" s="1"/>
  <c r="Q59" i="8"/>
  <c r="P59" i="8"/>
  <c r="X40" i="8"/>
  <c r="AB40" i="8"/>
  <c r="T40" i="8"/>
  <c r="AS40" i="8" s="1"/>
  <c r="Y40" i="8"/>
  <c r="U40" i="8"/>
  <c r="AA40" i="8"/>
  <c r="W40" i="8"/>
  <c r="AV40" i="8" s="1"/>
  <c r="BA40" i="8" s="1"/>
  <c r="S40" i="8"/>
  <c r="AR40" i="8" s="1"/>
  <c r="AW40" i="8" s="1"/>
  <c r="O40" i="8"/>
  <c r="Z40" i="8"/>
  <c r="V40" i="8"/>
  <c r="P40" i="8"/>
  <c r="BD40" i="8" s="1"/>
  <c r="Q40" i="8"/>
  <c r="BE40" i="8" s="1"/>
  <c r="X75" i="8"/>
  <c r="AB75" i="8"/>
  <c r="AA75" i="8"/>
  <c r="T75" i="8"/>
  <c r="AS75" i="8" s="1"/>
  <c r="AX75" i="8" s="1"/>
  <c r="U75" i="8"/>
  <c r="Z75" i="8"/>
  <c r="W75" i="8"/>
  <c r="AV75" i="8" s="1"/>
  <c r="O75" i="8"/>
  <c r="BC75" i="8" s="1"/>
  <c r="Y75" i="8"/>
  <c r="V75" i="8"/>
  <c r="Q75" i="8"/>
  <c r="BE75" i="8" s="1"/>
  <c r="P75" i="8"/>
  <c r="BD75" i="8" s="1"/>
  <c r="S75" i="8"/>
  <c r="AR75" i="8" s="1"/>
  <c r="AW75" i="8" s="1"/>
  <c r="X36" i="8"/>
  <c r="AB36" i="8"/>
  <c r="Z36" i="8"/>
  <c r="T36" i="8"/>
  <c r="AS36" i="8" s="1"/>
  <c r="AA36" i="8"/>
  <c r="U36" i="8"/>
  <c r="Y36" i="8"/>
  <c r="W36" i="8"/>
  <c r="AV36" i="8" s="1"/>
  <c r="BA36" i="8" s="1"/>
  <c r="S36" i="8"/>
  <c r="AR36" i="8" s="1"/>
  <c r="AW36" i="8" s="1"/>
  <c r="O36" i="8"/>
  <c r="BC36" i="8" s="1"/>
  <c r="V36" i="8"/>
  <c r="P36" i="8"/>
  <c r="Q36" i="8"/>
  <c r="X74" i="8"/>
  <c r="AB74" i="8"/>
  <c r="Y74" i="8"/>
  <c r="T74" i="8"/>
  <c r="Z74" i="8"/>
  <c r="U74" i="8"/>
  <c r="W74" i="8"/>
  <c r="AV74" i="8" s="1"/>
  <c r="BA74" i="8" s="1"/>
  <c r="O74" i="8"/>
  <c r="V74" i="8"/>
  <c r="S74" i="8"/>
  <c r="AR74" i="8" s="1"/>
  <c r="AW74" i="8" s="1"/>
  <c r="P74" i="8"/>
  <c r="BD74" i="8" s="1"/>
  <c r="Q74" i="8"/>
  <c r="AA74" i="8"/>
  <c r="X33" i="8"/>
  <c r="AB33" i="8"/>
  <c r="T33" i="8"/>
  <c r="Y33" i="8"/>
  <c r="U33" i="8"/>
  <c r="AT33" i="8" s="1"/>
  <c r="AY33" i="8" s="1"/>
  <c r="W33" i="8"/>
  <c r="AV33" i="8" s="1"/>
  <c r="S33" i="8"/>
  <c r="AR33" i="8" s="1"/>
  <c r="AA33" i="8"/>
  <c r="O33" i="8"/>
  <c r="BC33" i="8" s="1"/>
  <c r="V33" i="8"/>
  <c r="AU33" i="8" s="1"/>
  <c r="AZ33" i="8" s="1"/>
  <c r="Z33" i="8"/>
  <c r="P33" i="8"/>
  <c r="BD33" i="8" s="1"/>
  <c r="Q33" i="8"/>
  <c r="BE33" i="8" s="1"/>
  <c r="BB23" i="8"/>
  <c r="R94" i="8"/>
  <c r="BB22" i="8"/>
  <c r="N52" i="8"/>
  <c r="R97" i="8"/>
  <c r="L46" i="8"/>
  <c r="L94" i="8"/>
  <c r="CG56" i="10"/>
  <c r="CF56" i="10"/>
  <c r="CG25" i="10"/>
  <c r="CF25" i="10"/>
  <c r="CG95" i="10"/>
  <c r="CF95" i="10"/>
  <c r="CG30" i="10"/>
  <c r="CF30" i="10"/>
  <c r="CG13" i="10"/>
  <c r="CF13" i="10"/>
  <c r="CG60" i="10"/>
  <c r="CF60" i="10"/>
  <c r="CG90" i="10"/>
  <c r="CF90" i="10"/>
  <c r="CG65" i="10"/>
  <c r="CF65" i="10"/>
  <c r="CG50" i="10"/>
  <c r="CF50" i="10"/>
  <c r="CG58" i="10"/>
  <c r="CF58" i="10"/>
  <c r="CG28" i="10"/>
  <c r="CF28" i="10"/>
  <c r="CF45" i="10"/>
  <c r="CG45" i="10"/>
  <c r="CG40" i="10"/>
  <c r="CF40" i="10"/>
  <c r="CG39" i="10"/>
  <c r="CF39" i="10"/>
  <c r="CG104" i="10"/>
  <c r="CF104" i="10"/>
  <c r="CG75" i="10"/>
  <c r="CF75" i="10"/>
  <c r="CI8" i="10"/>
  <c r="CH8" i="10"/>
  <c r="CG21" i="10"/>
  <c r="CF21" i="10"/>
  <c r="CG41" i="10"/>
  <c r="CF41" i="10"/>
  <c r="CG83" i="10"/>
  <c r="CF83" i="10"/>
  <c r="CG92" i="10"/>
  <c r="CF92" i="10"/>
  <c r="CG96" i="10"/>
  <c r="CF96" i="10"/>
  <c r="CG22" i="10"/>
  <c r="CF22" i="10"/>
  <c r="CI79" i="10"/>
  <c r="CH79" i="10"/>
  <c r="CG102" i="10"/>
  <c r="CF102" i="10"/>
  <c r="CD55" i="10"/>
  <c r="CD62" i="10" s="1"/>
  <c r="CE55" i="10"/>
  <c r="CE62" i="10" s="1"/>
  <c r="CG19" i="10"/>
  <c r="CF19" i="10"/>
  <c r="CF64" i="10"/>
  <c r="CF77" i="10" s="1"/>
  <c r="CG64" i="10"/>
  <c r="CG81" i="10"/>
  <c r="CF81" i="10"/>
  <c r="CG103" i="10"/>
  <c r="CF103" i="10"/>
  <c r="CG93" i="10"/>
  <c r="CF93" i="10"/>
  <c r="CG47" i="10"/>
  <c r="CF47" i="10"/>
  <c r="CG49" i="10"/>
  <c r="CF49" i="10"/>
  <c r="CG35" i="10"/>
  <c r="CF35" i="10"/>
  <c r="CG61" i="10"/>
  <c r="CF61" i="10"/>
  <c r="CG53" i="10"/>
  <c r="CF53" i="10"/>
  <c r="CG31" i="10"/>
  <c r="CF31" i="10"/>
  <c r="CG10" i="10"/>
  <c r="CF10" i="10"/>
  <c r="CG94" i="10"/>
  <c r="CF94" i="10"/>
  <c r="CI80" i="10"/>
  <c r="CH80" i="10"/>
  <c r="CG66" i="10"/>
  <c r="CF66" i="10"/>
  <c r="CG69" i="10"/>
  <c r="CF69" i="10"/>
  <c r="CG70" i="10"/>
  <c r="CF70" i="10"/>
  <c r="CG71" i="10"/>
  <c r="CF71" i="10"/>
  <c r="CG29" i="10"/>
  <c r="CF29" i="10"/>
  <c r="CG34" i="10"/>
  <c r="CF34" i="10"/>
  <c r="CG20" i="10"/>
  <c r="CF20" i="10"/>
  <c r="CG36" i="10"/>
  <c r="CF36" i="10"/>
  <c r="CG37" i="10"/>
  <c r="CF37" i="10"/>
  <c r="CG38" i="10"/>
  <c r="CF38" i="10"/>
  <c r="CG9" i="10"/>
  <c r="CF9" i="10"/>
  <c r="CG67" i="10"/>
  <c r="CF67" i="10"/>
  <c r="CG74" i="10"/>
  <c r="CF74" i="10"/>
  <c r="CG33" i="10"/>
  <c r="CF33" i="10"/>
  <c r="CG14" i="10"/>
  <c r="CF14" i="10"/>
  <c r="CG18" i="10"/>
  <c r="CF18" i="10"/>
  <c r="CG86" i="10"/>
  <c r="CF86" i="10"/>
  <c r="CF91" i="10"/>
  <c r="CG91" i="10"/>
  <c r="CG57" i="10"/>
  <c r="CF57" i="10"/>
  <c r="CG101" i="10"/>
  <c r="CF101" i="10"/>
  <c r="CG23" i="10"/>
  <c r="CF23" i="10"/>
  <c r="CG99" i="10"/>
  <c r="CF99" i="10"/>
  <c r="CG54" i="10"/>
  <c r="CF54" i="10"/>
  <c r="CG26" i="10"/>
  <c r="CF26" i="10"/>
  <c r="CG98" i="10"/>
  <c r="CF98" i="10"/>
  <c r="CG24" i="10"/>
  <c r="CF24" i="10"/>
  <c r="CG76" i="10"/>
  <c r="CF76" i="10"/>
  <c r="CG15" i="10"/>
  <c r="CF15" i="10"/>
  <c r="CG68" i="10"/>
  <c r="CF68" i="10"/>
  <c r="CG100" i="10"/>
  <c r="CF100" i="10"/>
  <c r="CG59" i="10"/>
  <c r="CF59" i="10"/>
  <c r="CG72" i="10"/>
  <c r="CF72" i="10"/>
  <c r="CG16" i="10"/>
  <c r="CF16" i="10"/>
  <c r="CG17" i="10"/>
  <c r="CF17" i="10"/>
  <c r="CF12" i="10"/>
  <c r="CG12" i="10"/>
  <c r="CG84" i="10"/>
  <c r="CF84" i="10"/>
  <c r="CG82" i="10"/>
  <c r="CF82" i="10"/>
  <c r="CG11" i="10"/>
  <c r="CF11" i="10"/>
  <c r="CG89" i="10"/>
  <c r="CF89" i="10"/>
  <c r="CG42" i="10"/>
  <c r="CF42" i="10"/>
  <c r="CG48" i="10"/>
  <c r="CF48" i="10"/>
  <c r="CG46" i="10"/>
  <c r="CF46" i="10"/>
  <c r="CG52" i="10"/>
  <c r="CF52" i="10"/>
  <c r="CG51" i="10"/>
  <c r="CF51" i="10"/>
  <c r="CG32" i="10"/>
  <c r="CF32" i="10"/>
  <c r="CG85" i="10"/>
  <c r="CF85" i="10"/>
  <c r="CG73" i="10"/>
  <c r="CF73" i="10"/>
  <c r="CG97" i="10"/>
  <c r="CF97" i="10"/>
  <c r="CG27" i="10"/>
  <c r="CF27" i="10"/>
  <c r="AV79" i="10"/>
  <c r="BF79" i="10" s="1"/>
  <c r="BE107" i="10"/>
  <c r="BO79" i="10"/>
  <c r="BN94" i="10"/>
  <c r="BM12" i="10"/>
  <c r="AW25" i="10"/>
  <c r="BG25" i="10" s="1"/>
  <c r="BN30" i="10"/>
  <c r="BO35" i="10"/>
  <c r="BN48" i="10"/>
  <c r="AV66" i="10"/>
  <c r="BF66" i="10" s="1"/>
  <c r="AZ40" i="10"/>
  <c r="BJ40" i="10" s="1"/>
  <c r="BO30" i="10"/>
  <c r="AY69" i="10"/>
  <c r="BI69" i="10" s="1"/>
  <c r="AX11" i="10"/>
  <c r="BH11" i="10" s="1"/>
  <c r="BO16" i="10"/>
  <c r="BK57" i="10"/>
  <c r="AW89" i="10"/>
  <c r="BG89" i="10" s="1"/>
  <c r="BK72" i="10"/>
  <c r="AW50" i="10"/>
  <c r="BG50" i="10" s="1"/>
  <c r="AX33" i="10"/>
  <c r="BH33" i="10" s="1"/>
  <c r="AX21" i="10"/>
  <c r="BH21" i="10" s="1"/>
  <c r="AZ76" i="10"/>
  <c r="BJ76" i="10" s="1"/>
  <c r="BN80" i="10"/>
  <c r="AV81" i="10"/>
  <c r="BF81" i="10" s="1"/>
  <c r="BL67" i="10"/>
  <c r="BN9" i="10"/>
  <c r="AV15" i="10"/>
  <c r="BF15" i="10" s="1"/>
  <c r="AY59" i="10"/>
  <c r="BI59" i="10" s="1"/>
  <c r="AX93" i="10"/>
  <c r="BH93" i="10" s="1"/>
  <c r="AX104" i="10"/>
  <c r="BH104" i="10" s="1"/>
  <c r="AX38" i="10"/>
  <c r="BH38" i="10" s="1"/>
  <c r="BL31" i="10"/>
  <c r="BK25" i="10"/>
  <c r="BL60" i="10"/>
  <c r="BN70" i="10"/>
  <c r="AY58" i="10"/>
  <c r="BI58" i="10" s="1"/>
  <c r="BM95" i="10"/>
  <c r="AX101" i="10"/>
  <c r="BH101" i="10" s="1"/>
  <c r="AV94" i="10"/>
  <c r="BF94" i="10" s="1"/>
  <c r="AZ102" i="10"/>
  <c r="BJ102" i="10" s="1"/>
  <c r="AY60" i="10"/>
  <c r="BI60" i="10" s="1"/>
  <c r="AV16" i="10"/>
  <c r="BF16" i="10" s="1"/>
  <c r="BL72" i="10"/>
  <c r="BN79" i="10"/>
  <c r="AZ54" i="10"/>
  <c r="BJ54" i="10" s="1"/>
  <c r="AZ25" i="10"/>
  <c r="BJ25" i="10" s="1"/>
  <c r="AY86" i="10"/>
  <c r="BI86" i="10" s="1"/>
  <c r="AV35" i="10"/>
  <c r="BF35" i="10" s="1"/>
  <c r="AV12" i="10"/>
  <c r="BF12" i="10" s="1"/>
  <c r="BM20" i="10"/>
  <c r="AZ11" i="10"/>
  <c r="BJ11" i="10" s="1"/>
  <c r="AZ92" i="10"/>
  <c r="BJ92" i="10" s="1"/>
  <c r="AV48" i="10"/>
  <c r="BF48" i="10" s="1"/>
  <c r="AV75" i="10"/>
  <c r="BF75" i="10" s="1"/>
  <c r="AZ36" i="10"/>
  <c r="BJ36" i="10" s="1"/>
  <c r="AW19" i="10"/>
  <c r="BG19" i="10" s="1"/>
  <c r="BD107" i="10"/>
  <c r="AZ21" i="10"/>
  <c r="BJ21" i="10" s="1"/>
  <c r="BN26" i="10"/>
  <c r="BN61" i="10"/>
  <c r="AW59" i="10"/>
  <c r="BG59" i="10" s="1"/>
  <c r="AZ20" i="10"/>
  <c r="BJ20" i="10" s="1"/>
  <c r="AW55" i="10"/>
  <c r="BG55" i="10" s="1"/>
  <c r="AY37" i="10"/>
  <c r="BI37" i="10" s="1"/>
  <c r="AY68" i="10"/>
  <c r="BI68" i="10" s="1"/>
  <c r="AX102" i="10"/>
  <c r="BH102" i="10" s="1"/>
  <c r="BM80" i="10"/>
  <c r="AZ32" i="10"/>
  <c r="BJ32" i="10" s="1"/>
  <c r="BN72" i="10"/>
  <c r="BL97" i="10"/>
  <c r="BN39" i="10"/>
  <c r="BL18" i="10"/>
  <c r="AZ58" i="10"/>
  <c r="BJ58" i="10" s="1"/>
  <c r="AW29" i="10"/>
  <c r="BG29" i="10" s="1"/>
  <c r="BK64" i="10"/>
  <c r="BO94" i="10"/>
  <c r="AZ52" i="10"/>
  <c r="BJ52" i="10" s="1"/>
  <c r="AV102" i="10"/>
  <c r="BF102" i="10" s="1"/>
  <c r="BK97" i="10"/>
  <c r="AY56" i="10"/>
  <c r="BI56" i="10" s="1"/>
  <c r="AW32" i="10"/>
  <c r="BG32" i="10" s="1"/>
  <c r="AZ39" i="10"/>
  <c r="BJ39" i="10" s="1"/>
  <c r="AY29" i="10"/>
  <c r="BI29" i="10" s="1"/>
  <c r="AX64" i="10"/>
  <c r="BH64" i="10" s="1"/>
  <c r="AX82" i="10"/>
  <c r="BH82" i="10" s="1"/>
  <c r="BO93" i="10"/>
  <c r="BL16" i="10"/>
  <c r="AW27" i="10"/>
  <c r="BG27" i="10" s="1"/>
  <c r="BM91" i="8"/>
  <c r="AX79" i="10"/>
  <c r="BH79" i="10" s="1"/>
  <c r="BM79" i="10"/>
  <c r="BK32" i="10"/>
  <c r="BL20" i="10"/>
  <c r="BM18" i="10"/>
  <c r="AX14" i="10"/>
  <c r="BH14" i="10" s="1"/>
  <c r="AY18" i="10"/>
  <c r="BI18" i="10" s="1"/>
  <c r="AY92" i="10"/>
  <c r="BI92" i="10" s="1"/>
  <c r="BK95" i="10"/>
  <c r="AW96" i="10"/>
  <c r="BG96" i="10" s="1"/>
  <c r="AX40" i="10"/>
  <c r="BH40" i="10" s="1"/>
  <c r="BM73" i="10"/>
  <c r="BM48" i="10"/>
  <c r="AY25" i="10"/>
  <c r="BI25" i="10" s="1"/>
  <c r="AV60" i="10"/>
  <c r="BF60" i="10" s="1"/>
  <c r="AX25" i="10"/>
  <c r="BH25" i="10" s="1"/>
  <c r="AY54" i="10"/>
  <c r="BI54" i="10" s="1"/>
  <c r="AZ49" i="10"/>
  <c r="BJ49" i="10" s="1"/>
  <c r="AV18" i="10"/>
  <c r="BF18" i="10" s="1"/>
  <c r="BO22" i="10"/>
  <c r="AW94" i="10"/>
  <c r="BG94" i="10" s="1"/>
  <c r="BM29" i="10"/>
  <c r="BK31" i="10"/>
  <c r="AV70" i="10"/>
  <c r="BF70" i="10" s="1"/>
  <c r="AX17" i="10"/>
  <c r="BH17" i="10" s="1"/>
  <c r="BO72" i="10"/>
  <c r="BO28" i="10"/>
  <c r="AV40" i="10"/>
  <c r="BF40" i="10" s="1"/>
  <c r="AV61" i="10"/>
  <c r="BF61" i="10" s="1"/>
  <c r="BM58" i="10"/>
  <c r="AY16" i="10"/>
  <c r="BI16" i="10" s="1"/>
  <c r="AZ75" i="10"/>
  <c r="BJ75" i="10" s="1"/>
  <c r="AZ18" i="10"/>
  <c r="BJ18" i="10" s="1"/>
  <c r="AZ50" i="10"/>
  <c r="BJ50" i="10" s="1"/>
  <c r="AX8" i="10"/>
  <c r="BH8" i="10" s="1"/>
  <c r="BN66" i="10"/>
  <c r="AX34" i="10"/>
  <c r="BH34" i="10" s="1"/>
  <c r="AX66" i="10"/>
  <c r="BH66" i="10" s="1"/>
  <c r="AZ29" i="10"/>
  <c r="BJ29" i="10" s="1"/>
  <c r="AV11" i="10"/>
  <c r="BF11" i="10" s="1"/>
  <c r="AX67" i="10"/>
  <c r="BH67" i="10" s="1"/>
  <c r="AZ26" i="10"/>
  <c r="BJ26" i="10" s="1"/>
  <c r="AY36" i="10"/>
  <c r="BI36" i="10" s="1"/>
  <c r="AZ42" i="10"/>
  <c r="BJ42" i="10" s="1"/>
  <c r="BO48" i="10"/>
  <c r="AW47" i="10"/>
  <c r="BG47" i="10" s="1"/>
  <c r="AZ81" i="10"/>
  <c r="BJ81" i="10" s="1"/>
  <c r="AV86" i="10"/>
  <c r="BF86" i="10" s="1"/>
  <c r="AX71" i="10"/>
  <c r="BH71" i="10" s="1"/>
  <c r="AX30" i="10"/>
  <c r="BH30" i="10" s="1"/>
  <c r="AX98" i="10"/>
  <c r="BH98" i="10" s="1"/>
  <c r="AZ24" i="10"/>
  <c r="BJ24" i="10" s="1"/>
  <c r="AZ99" i="10"/>
  <c r="BJ99" i="10" s="1"/>
  <c r="BM13" i="10"/>
  <c r="AX22" i="10"/>
  <c r="BH22" i="10" s="1"/>
  <c r="AW22" i="10"/>
  <c r="BG22" i="10" s="1"/>
  <c r="AX97" i="10"/>
  <c r="BH97" i="10" s="1"/>
  <c r="AY91" i="10"/>
  <c r="BI91" i="10" s="1"/>
  <c r="BM68" i="10"/>
  <c r="BL64" i="10"/>
  <c r="AY104" i="10"/>
  <c r="BI104" i="10" s="1"/>
  <c r="AV50" i="10"/>
  <c r="BF50" i="10" s="1"/>
  <c r="AV74" i="10"/>
  <c r="BF74" i="10" s="1"/>
  <c r="AV36" i="10"/>
  <c r="BF36" i="10" s="1"/>
  <c r="AZ9" i="10"/>
  <c r="BJ9" i="10" s="1"/>
  <c r="AX24" i="10"/>
  <c r="BH24" i="10" s="1"/>
  <c r="BM9" i="10"/>
  <c r="BN96" i="10"/>
  <c r="AW79" i="10"/>
  <c r="BG79" i="10" s="1"/>
  <c r="AY19" i="10"/>
  <c r="BI19" i="10" s="1"/>
  <c r="AX45" i="10"/>
  <c r="BH45" i="10" s="1"/>
  <c r="AV91" i="10"/>
  <c r="BF91" i="10" s="1"/>
  <c r="AW26" i="10"/>
  <c r="BG26" i="10" s="1"/>
  <c r="AY28" i="10"/>
  <c r="BI28" i="10" s="1"/>
  <c r="BO69" i="10"/>
  <c r="BL73" i="10"/>
  <c r="AZ66" i="10"/>
  <c r="BJ66" i="10" s="1"/>
  <c r="AX52" i="10"/>
  <c r="BH52" i="10" s="1"/>
  <c r="AW56" i="10"/>
  <c r="BG56" i="10" s="1"/>
  <c r="BN11" i="10"/>
  <c r="AY27" i="10"/>
  <c r="BI27" i="10" s="1"/>
  <c r="AX74" i="10"/>
  <c r="BH74" i="10" s="1"/>
  <c r="AT92" i="8"/>
  <c r="AY92" i="8" s="1"/>
  <c r="N88" i="8"/>
  <c r="N8" i="8"/>
  <c r="R8" i="8"/>
  <c r="L8" i="8"/>
  <c r="L7" i="8"/>
  <c r="L92" i="8"/>
  <c r="N92" i="8"/>
  <c r="R92" i="8"/>
  <c r="AU92" i="8"/>
  <c r="BC92" i="8"/>
  <c r="L82" i="8"/>
  <c r="N82" i="8"/>
  <c r="R82" i="8"/>
  <c r="L19" i="8"/>
  <c r="N19" i="8"/>
  <c r="R19" i="8"/>
  <c r="L47" i="8"/>
  <c r="N47" i="8"/>
  <c r="R47" i="8"/>
  <c r="L12" i="8"/>
  <c r="N12" i="8"/>
  <c r="R12" i="8"/>
  <c r="L66" i="8"/>
  <c r="N66" i="8"/>
  <c r="R66" i="8"/>
  <c r="L31" i="8"/>
  <c r="N31" i="8"/>
  <c r="R31" i="8"/>
  <c r="L29" i="8"/>
  <c r="N29" i="8"/>
  <c r="R29" i="8"/>
  <c r="N72" i="8"/>
  <c r="L72" i="8"/>
  <c r="R72" i="8"/>
  <c r="L25" i="8"/>
  <c r="N25" i="8"/>
  <c r="R25" i="8"/>
  <c r="L24" i="8"/>
  <c r="N24" i="8"/>
  <c r="R24" i="8"/>
  <c r="L53" i="8"/>
  <c r="N53" i="8"/>
  <c r="R53" i="8"/>
  <c r="R60" i="8"/>
  <c r="N60" i="8"/>
  <c r="N41" i="8"/>
  <c r="R41" i="8"/>
  <c r="L41" i="8"/>
  <c r="N103" i="8"/>
  <c r="R103" i="8"/>
  <c r="L103" i="8"/>
  <c r="N37" i="8"/>
  <c r="R37" i="8"/>
  <c r="L37" i="8"/>
  <c r="N100" i="8"/>
  <c r="R100" i="8"/>
  <c r="L100" i="8"/>
  <c r="L73" i="8"/>
  <c r="R73" i="8"/>
  <c r="N73" i="8"/>
  <c r="N7" i="8"/>
  <c r="AR39" i="8"/>
  <c r="AU63" i="8"/>
  <c r="N89" i="8"/>
  <c r="R89" i="8"/>
  <c r="L89" i="8"/>
  <c r="L10" i="8"/>
  <c r="N10" i="8"/>
  <c r="R10" i="8"/>
  <c r="L80" i="8"/>
  <c r="N80" i="8"/>
  <c r="R80" i="8"/>
  <c r="L93" i="8"/>
  <c r="BC93" i="8"/>
  <c r="N93" i="8"/>
  <c r="R93" i="8"/>
  <c r="N51" i="8"/>
  <c r="R51" i="8"/>
  <c r="L51" i="8"/>
  <c r="L21" i="8"/>
  <c r="N21" i="8"/>
  <c r="R21" i="8"/>
  <c r="N18" i="8"/>
  <c r="R18" i="8"/>
  <c r="L16" i="8"/>
  <c r="N16" i="8"/>
  <c r="R16" i="8"/>
  <c r="L67" i="8"/>
  <c r="N67" i="8"/>
  <c r="R67" i="8"/>
  <c r="N46" i="8"/>
  <c r="R46" i="8"/>
  <c r="AU46" i="8"/>
  <c r="AZ46" i="8" s="1"/>
  <c r="L30" i="8"/>
  <c r="R30" i="8"/>
  <c r="N30" i="8"/>
  <c r="R28" i="8"/>
  <c r="N28" i="8"/>
  <c r="L27" i="8"/>
  <c r="R27" i="8"/>
  <c r="N27" i="8"/>
  <c r="BE95" i="8"/>
  <c r="N95" i="8"/>
  <c r="R95" i="8"/>
  <c r="L95" i="8"/>
  <c r="L83" i="8"/>
  <c r="N83" i="8"/>
  <c r="R83" i="8"/>
  <c r="R70" i="8"/>
  <c r="N70" i="8"/>
  <c r="L59" i="8"/>
  <c r="N59" i="8"/>
  <c r="R59" i="8"/>
  <c r="L40" i="8"/>
  <c r="N40" i="8"/>
  <c r="R40" i="8"/>
  <c r="L75" i="8"/>
  <c r="N75" i="8"/>
  <c r="R75" i="8"/>
  <c r="L36" i="8"/>
  <c r="N36" i="8"/>
  <c r="R36" i="8"/>
  <c r="L74" i="8"/>
  <c r="N74" i="8"/>
  <c r="R74" i="8"/>
  <c r="L33" i="8"/>
  <c r="N33" i="8"/>
  <c r="R33" i="8"/>
  <c r="L60" i="8"/>
  <c r="L65" i="8"/>
  <c r="N65" i="8"/>
  <c r="R65" i="8"/>
  <c r="L9" i="8"/>
  <c r="N9" i="8"/>
  <c r="R9" i="8"/>
  <c r="R64" i="8"/>
  <c r="N64" i="8"/>
  <c r="L52" i="8"/>
  <c r="L50" i="8"/>
  <c r="N50" i="8"/>
  <c r="R50" i="8"/>
  <c r="L68" i="8"/>
  <c r="N68" i="8"/>
  <c r="R68" i="8"/>
  <c r="N48" i="8"/>
  <c r="R48" i="8"/>
  <c r="N14" i="8"/>
  <c r="R14" i="8"/>
  <c r="L81" i="8"/>
  <c r="N81" i="8"/>
  <c r="R81" i="8"/>
  <c r="L90" i="8"/>
  <c r="N90" i="8"/>
  <c r="R90" i="8"/>
  <c r="L56" i="8"/>
  <c r="L97" i="8"/>
  <c r="L85" i="8"/>
  <c r="L84" i="8"/>
  <c r="N84" i="8"/>
  <c r="R84" i="8"/>
  <c r="R71" i="8"/>
  <c r="AV94" i="8"/>
  <c r="BA94" i="8" s="1"/>
  <c r="N39" i="8"/>
  <c r="R39" i="8"/>
  <c r="L39" i="8"/>
  <c r="BD39" i="8"/>
  <c r="N102" i="8"/>
  <c r="R102" i="8"/>
  <c r="N35" i="8"/>
  <c r="R35" i="8"/>
  <c r="L35" i="8"/>
  <c r="L99" i="8"/>
  <c r="BE90" i="8"/>
  <c r="N71" i="8"/>
  <c r="L14" i="8"/>
  <c r="AU14" i="8"/>
  <c r="AT81" i="8"/>
  <c r="AY81" i="8" s="1"/>
  <c r="N94" i="8"/>
  <c r="R52" i="8"/>
  <c r="BB69" i="8"/>
  <c r="R99" i="8"/>
  <c r="N56" i="8"/>
  <c r="N97" i="8"/>
  <c r="N85" i="8"/>
  <c r="R58" i="8"/>
  <c r="AW101" i="8"/>
  <c r="L102" i="8"/>
  <c r="N57" i="8"/>
  <c r="R57" i="8"/>
  <c r="L57" i="8"/>
  <c r="N38" i="8"/>
  <c r="R38" i="8"/>
  <c r="N101" i="8"/>
  <c r="R101" i="8"/>
  <c r="N34" i="8"/>
  <c r="R34" i="8"/>
  <c r="R44" i="8"/>
  <c r="R13" i="8"/>
  <c r="R91" i="8"/>
  <c r="N91" i="8"/>
  <c r="R49" i="8"/>
  <c r="R20" i="8"/>
  <c r="N20" i="8"/>
  <c r="R17" i="8"/>
  <c r="N17" i="8"/>
  <c r="R26" i="8"/>
  <c r="N26" i="8"/>
  <c r="R54" i="8"/>
  <c r="AS55" i="8"/>
  <c r="AX55" i="8" s="1"/>
  <c r="L101" i="8"/>
  <c r="L55" i="8"/>
  <c r="BC98" i="8"/>
  <c r="BO96" i="8"/>
  <c r="AS25" i="8"/>
  <c r="AR23" i="8"/>
  <c r="AW23" i="8" s="1"/>
  <c r="AV96" i="8"/>
  <c r="BA96" i="8" s="1"/>
  <c r="AS93" i="8"/>
  <c r="AU97" i="8"/>
  <c r="AZ97" i="8" s="1"/>
  <c r="AU53" i="8"/>
  <c r="AZ53" i="8" s="1"/>
  <c r="BE88" i="8"/>
  <c r="L88" i="8"/>
  <c r="AT88" i="8"/>
  <c r="BO61" i="10"/>
  <c r="AV20" i="10"/>
  <c r="BF20" i="10" s="1"/>
  <c r="BN14" i="10"/>
  <c r="BN97" i="10"/>
  <c r="AV19" i="10"/>
  <c r="BF19" i="10" s="1"/>
  <c r="BM31" i="10"/>
  <c r="AX81" i="10"/>
  <c r="BH81" i="10" s="1"/>
  <c r="AX86" i="10"/>
  <c r="BH86" i="10" s="1"/>
  <c r="AZ98" i="10"/>
  <c r="BJ98" i="10" s="1"/>
  <c r="BL82" i="10"/>
  <c r="AX94" i="10"/>
  <c r="BH94" i="10" s="1"/>
  <c r="AY22" i="10"/>
  <c r="BI22" i="10" s="1"/>
  <c r="AX92" i="10"/>
  <c r="BH92" i="10" s="1"/>
  <c r="AY12" i="10"/>
  <c r="BI12" i="10" s="1"/>
  <c r="BL95" i="10"/>
  <c r="AZ59" i="10"/>
  <c r="BJ59" i="10" s="1"/>
  <c r="AV14" i="10"/>
  <c r="BF14" i="10" s="1"/>
  <c r="AW69" i="10"/>
  <c r="BG69" i="10" s="1"/>
  <c r="BN32" i="10"/>
  <c r="BL40" i="10"/>
  <c r="BL14" i="10"/>
  <c r="AZ31" i="10"/>
  <c r="BJ31" i="10" s="1"/>
  <c r="AX91" i="10"/>
  <c r="BH91" i="10" s="1"/>
  <c r="AX96" i="10"/>
  <c r="BH96" i="10" s="1"/>
  <c r="AZ55" i="10"/>
  <c r="BJ55" i="10" s="1"/>
  <c r="AZ85" i="10"/>
  <c r="BJ85" i="10" s="1"/>
  <c r="AW98" i="10"/>
  <c r="BG98" i="10" s="1"/>
  <c r="AW102" i="10"/>
  <c r="BG102" i="10" s="1"/>
  <c r="BO56" i="10"/>
  <c r="AX41" i="10"/>
  <c r="BH41" i="10" s="1"/>
  <c r="AW90" i="10"/>
  <c r="BG90" i="10" s="1"/>
  <c r="AZ15" i="10"/>
  <c r="BJ15" i="10" s="1"/>
  <c r="AZ80" i="10"/>
  <c r="BJ80" i="10" s="1"/>
  <c r="AZ91" i="10"/>
  <c r="BJ91" i="10" s="1"/>
  <c r="AZ86" i="10"/>
  <c r="BJ86" i="10" s="1"/>
  <c r="AY74" i="10"/>
  <c r="BI74" i="10" s="1"/>
  <c r="BN35" i="10"/>
  <c r="AZ70" i="10"/>
  <c r="BJ70" i="10" s="1"/>
  <c r="BL61" i="10"/>
  <c r="BM69" i="10"/>
  <c r="AV22" i="10"/>
  <c r="BF22" i="10" s="1"/>
  <c r="AZ79" i="10"/>
  <c r="BJ79" i="10" s="1"/>
  <c r="AY81" i="10"/>
  <c r="BI81" i="10" s="1"/>
  <c r="AZ95" i="10"/>
  <c r="BJ95" i="10" s="1"/>
  <c r="BK73" i="10"/>
  <c r="AV80" i="10"/>
  <c r="BF80" i="10" s="1"/>
  <c r="AV9" i="10"/>
  <c r="BF9" i="10" s="1"/>
  <c r="AX10" i="10"/>
  <c r="BH10" i="10" s="1"/>
  <c r="AX89" i="10"/>
  <c r="BH89" i="10" s="1"/>
  <c r="AX46" i="10"/>
  <c r="BH46" i="10" s="1"/>
  <c r="AX90" i="10"/>
  <c r="BH90" i="10" s="1"/>
  <c r="AX47" i="10"/>
  <c r="BH47" i="10" s="1"/>
  <c r="AV92" i="10"/>
  <c r="BF92" i="10" s="1"/>
  <c r="AV68" i="10"/>
  <c r="BF68" i="10" s="1"/>
  <c r="AY15" i="10"/>
  <c r="BI15" i="10" s="1"/>
  <c r="AX55" i="10"/>
  <c r="BH55" i="10" s="1"/>
  <c r="BK28" i="10"/>
  <c r="AX61" i="10"/>
  <c r="BH61" i="10" s="1"/>
  <c r="AX100" i="10"/>
  <c r="BH100" i="10" s="1"/>
  <c r="AX37" i="10"/>
  <c r="BH37" i="10" s="1"/>
  <c r="AX103" i="10"/>
  <c r="BH103" i="10" s="1"/>
  <c r="AY20" i="10"/>
  <c r="BI20" i="10" s="1"/>
  <c r="AW10" i="10"/>
  <c r="BG10" i="10" s="1"/>
  <c r="AZ12" i="10"/>
  <c r="BJ12" i="10" s="1"/>
  <c r="AZ68" i="10"/>
  <c r="BJ68" i="10" s="1"/>
  <c r="AY57" i="10"/>
  <c r="BI57" i="10" s="1"/>
  <c r="BO97" i="10"/>
  <c r="AW86" i="10"/>
  <c r="BG86" i="10" s="1"/>
  <c r="AX99" i="10"/>
  <c r="BH99" i="10" s="1"/>
  <c r="AX60" i="10"/>
  <c r="BH60" i="10" s="1"/>
  <c r="BK39" i="10"/>
  <c r="AV29" i="10"/>
  <c r="BF29" i="10" s="1"/>
  <c r="BL46" i="10"/>
  <c r="AV27" i="10"/>
  <c r="BF27" i="10" s="1"/>
  <c r="AX50" i="10"/>
  <c r="BH50" i="10" s="1"/>
  <c r="AY31" i="10"/>
  <c r="BI31" i="10" s="1"/>
  <c r="AW45" i="10"/>
  <c r="BG45" i="10" s="1"/>
  <c r="BO74" i="10"/>
  <c r="BL13" i="10"/>
  <c r="AX49" i="10"/>
  <c r="BH49" i="10" s="1"/>
  <c r="AX83" i="10"/>
  <c r="BH83" i="10" s="1"/>
  <c r="BK54" i="10"/>
  <c r="BN55" i="10"/>
  <c r="AW85" i="10"/>
  <c r="BG85" i="10" s="1"/>
  <c r="AW58" i="10"/>
  <c r="BG58" i="10" s="1"/>
  <c r="AX51" i="10"/>
  <c r="BH51" i="10" s="1"/>
  <c r="AX23" i="10"/>
  <c r="BH23" i="10" s="1"/>
  <c r="AW70" i="10"/>
  <c r="BG70" i="10" s="1"/>
  <c r="AW30" i="10"/>
  <c r="BG30" i="10" s="1"/>
  <c r="BK42" i="10"/>
  <c r="AX32" i="10"/>
  <c r="BH32" i="10" s="1"/>
  <c r="AX53" i="10"/>
  <c r="BH53" i="10" s="1"/>
  <c r="AX84" i="10"/>
  <c r="BH84" i="10" s="1"/>
  <c r="BK76" i="10"/>
  <c r="BE71" i="8"/>
  <c r="L71" i="8"/>
  <c r="AY72" i="8"/>
  <c r="AS16" i="8"/>
  <c r="AX16" i="8" s="1"/>
  <c r="AZ99" i="8"/>
  <c r="AW11" i="8"/>
  <c r="BR29" i="8"/>
  <c r="BQ29" i="8"/>
  <c r="CG87" i="10" l="1"/>
  <c r="CF87" i="10"/>
  <c r="CG105" i="10"/>
  <c r="CE106" i="10"/>
  <c r="CG77" i="10"/>
  <c r="CD106" i="10"/>
  <c r="DD45" i="10"/>
  <c r="DC62" i="10"/>
  <c r="DD64" i="10"/>
  <c r="DC77" i="10"/>
  <c r="CF62" i="10"/>
  <c r="CF105" i="10"/>
  <c r="DD89" i="10"/>
  <c r="DC105" i="10"/>
  <c r="DD79" i="10"/>
  <c r="DC87" i="10"/>
  <c r="CF43" i="10"/>
  <c r="CG43" i="10"/>
  <c r="DD8" i="10"/>
  <c r="DC43" i="10"/>
  <c r="BN98" i="8"/>
  <c r="N76" i="8"/>
  <c r="V76" i="8"/>
  <c r="AS63" i="8"/>
  <c r="BM63" i="8" s="1"/>
  <c r="T76" i="8"/>
  <c r="AB76" i="8"/>
  <c r="O76" i="8"/>
  <c r="Y76" i="8"/>
  <c r="X76" i="8"/>
  <c r="R76" i="8"/>
  <c r="AR63" i="8"/>
  <c r="S76" i="8"/>
  <c r="P76" i="8"/>
  <c r="U76" i="8"/>
  <c r="Z76" i="8"/>
  <c r="AY93" i="8"/>
  <c r="BE63" i="8"/>
  <c r="Q76" i="8"/>
  <c r="AV63" i="8"/>
  <c r="W76" i="8"/>
  <c r="AA76" i="8"/>
  <c r="AY98" i="8"/>
  <c r="AS44" i="8"/>
  <c r="AE52" i="8"/>
  <c r="BI52" i="8" s="1"/>
  <c r="BL83" i="8"/>
  <c r="BP101" i="8"/>
  <c r="AV44" i="8"/>
  <c r="AT44" i="8"/>
  <c r="AY44" i="8" s="1"/>
  <c r="AR44" i="8"/>
  <c r="DJ21" i="10"/>
  <c r="BC7" i="8"/>
  <c r="BD7" i="8"/>
  <c r="BD52" i="8"/>
  <c r="AC22" i="8"/>
  <c r="AC23" i="8"/>
  <c r="AW20" i="8"/>
  <c r="AX37" i="8"/>
  <c r="BN93" i="8"/>
  <c r="BO10" i="8"/>
  <c r="BN29" i="8"/>
  <c r="AC69" i="8"/>
  <c r="BN69" i="8"/>
  <c r="AD84" i="8"/>
  <c r="BL84" i="8"/>
  <c r="BP97" i="8"/>
  <c r="AG98" i="8"/>
  <c r="BP49" i="8"/>
  <c r="BN33" i="8"/>
  <c r="BO99" i="8"/>
  <c r="AF71" i="8"/>
  <c r="BN68" i="8"/>
  <c r="BP47" i="8"/>
  <c r="AG23" i="8"/>
  <c r="BM26" i="8"/>
  <c r="AD96" i="8"/>
  <c r="BH96" i="8" s="1"/>
  <c r="BP44" i="8"/>
  <c r="BL11" i="8"/>
  <c r="BP88" i="8"/>
  <c r="BO26" i="8"/>
  <c r="BO98" i="8"/>
  <c r="BL50" i="8"/>
  <c r="AC96" i="8"/>
  <c r="BG96" i="8" s="1"/>
  <c r="BC84" i="8"/>
  <c r="BN12" i="8"/>
  <c r="BM30" i="8"/>
  <c r="BO25" i="8"/>
  <c r="BP57" i="8"/>
  <c r="BO13" i="8"/>
  <c r="BN17" i="8"/>
  <c r="BL44" i="8"/>
  <c r="BM90" i="8"/>
  <c r="BO32" i="8"/>
  <c r="BP85" i="8"/>
  <c r="AW90" i="8"/>
  <c r="AZ32" i="8"/>
  <c r="BN85" i="8"/>
  <c r="BB96" i="8"/>
  <c r="BM51" i="8"/>
  <c r="AE38" i="8"/>
  <c r="BI38" i="8" s="1"/>
  <c r="BL13" i="8"/>
  <c r="BL17" i="8"/>
  <c r="BM69" i="8"/>
  <c r="AE85" i="8"/>
  <c r="BI85" i="8" s="1"/>
  <c r="BN65" i="8"/>
  <c r="BO65" i="8"/>
  <c r="AY34" i="8"/>
  <c r="BM39" i="8"/>
  <c r="BN31" i="8"/>
  <c r="AY29" i="8"/>
  <c r="BA68" i="8"/>
  <c r="BP68" i="8"/>
  <c r="AW14" i="8"/>
  <c r="AW30" i="8"/>
  <c r="AX34" i="8"/>
  <c r="AY35" i="8"/>
  <c r="BM28" i="8"/>
  <c r="AE21" i="8"/>
  <c r="BI21" i="8" s="1"/>
  <c r="BA11" i="8"/>
  <c r="AZ23" i="8"/>
  <c r="AZ58" i="8"/>
  <c r="BO58" i="8"/>
  <c r="BM9" i="8"/>
  <c r="AC32" i="8"/>
  <c r="BP11" i="8"/>
  <c r="AW72" i="8"/>
  <c r="BL72" i="8"/>
  <c r="BP54" i="8"/>
  <c r="BA54" i="8"/>
  <c r="DJ20" i="10"/>
  <c r="DJ38" i="10"/>
  <c r="BO52" i="8"/>
  <c r="BO22" i="8"/>
  <c r="BN34" i="8"/>
  <c r="BO23" i="8"/>
  <c r="BL26" i="8"/>
  <c r="BO55" i="8"/>
  <c r="AY31" i="8"/>
  <c r="BO97" i="8"/>
  <c r="BL54" i="8"/>
  <c r="AR69" i="8"/>
  <c r="AW69" i="8" s="1"/>
  <c r="BG69" i="8" s="1"/>
  <c r="BM54" i="8"/>
  <c r="AX39" i="8"/>
  <c r="BN94" i="8"/>
  <c r="BO89" i="8"/>
  <c r="AW84" i="8"/>
  <c r="AE59" i="8"/>
  <c r="BL27" i="8"/>
  <c r="AF46" i="8"/>
  <c r="AD16" i="8"/>
  <c r="BH16" i="8" s="1"/>
  <c r="AZ10" i="8"/>
  <c r="AE89" i="8"/>
  <c r="AD41" i="8"/>
  <c r="BH41" i="8" s="1"/>
  <c r="BN53" i="8"/>
  <c r="BN72" i="8"/>
  <c r="BP12" i="8"/>
  <c r="BO19" i="8"/>
  <c r="BM88" i="8"/>
  <c r="AE69" i="8"/>
  <c r="BI69" i="8" s="1"/>
  <c r="BA49" i="8"/>
  <c r="AY80" i="8"/>
  <c r="AZ96" i="8"/>
  <c r="AY53" i="8"/>
  <c r="BG22" i="8"/>
  <c r="AV90" i="8"/>
  <c r="BA90" i="8" s="1"/>
  <c r="BL33" i="8"/>
  <c r="BN56" i="8"/>
  <c r="BL20" i="8"/>
  <c r="AD35" i="8"/>
  <c r="AE94" i="8"/>
  <c r="BI94" i="8" s="1"/>
  <c r="DJ19" i="10"/>
  <c r="DJ37" i="10"/>
  <c r="DJ40" i="10"/>
  <c r="DJ98" i="10"/>
  <c r="DJ51" i="10"/>
  <c r="DJ46" i="10"/>
  <c r="DJ42" i="10"/>
  <c r="DJ100" i="10"/>
  <c r="DJ59" i="10"/>
  <c r="DJ102" i="10"/>
  <c r="DJ39" i="10"/>
  <c r="DJ97" i="10"/>
  <c r="DJ14" i="10"/>
  <c r="DJ30" i="10"/>
  <c r="DJ60" i="10"/>
  <c r="DJ103" i="10"/>
  <c r="DJ85" i="10"/>
  <c r="DJ61" i="10"/>
  <c r="DJ58" i="10"/>
  <c r="DJ101" i="10"/>
  <c r="DJ86" i="10"/>
  <c r="DJ67" i="10"/>
  <c r="BM52" i="8"/>
  <c r="AX9" i="8"/>
  <c r="BN22" i="8"/>
  <c r="BD94" i="8"/>
  <c r="BD85" i="8"/>
  <c r="BE46" i="8"/>
  <c r="BO63" i="8"/>
  <c r="AE74" i="8"/>
  <c r="AF51" i="8"/>
  <c r="BP80" i="8"/>
  <c r="AD39" i="8"/>
  <c r="AE56" i="8"/>
  <c r="BI56" i="8" s="1"/>
  <c r="AD38" i="8"/>
  <c r="BH38" i="8" s="1"/>
  <c r="AC55" i="8"/>
  <c r="BG55" i="8" s="1"/>
  <c r="BP20" i="8"/>
  <c r="BL97" i="8"/>
  <c r="BM100" i="8"/>
  <c r="BL103" i="8"/>
  <c r="AZ55" i="8"/>
  <c r="BM49" i="8"/>
  <c r="AV23" i="8"/>
  <c r="BA23" i="8" s="1"/>
  <c r="AW44" i="8"/>
  <c r="AY65" i="8"/>
  <c r="BN20" i="8"/>
  <c r="AY18" i="8"/>
  <c r="AZ22" i="8"/>
  <c r="AZ8" i="8"/>
  <c r="BA85" i="8"/>
  <c r="BC35" i="8"/>
  <c r="AS83" i="8"/>
  <c r="BM83" i="8" s="1"/>
  <c r="BJ46" i="8"/>
  <c r="BD21" i="8"/>
  <c r="BL10" i="8"/>
  <c r="AZ63" i="8"/>
  <c r="BM13" i="8"/>
  <c r="AD30" i="8"/>
  <c r="BN80" i="8"/>
  <c r="AC99" i="8"/>
  <c r="AF100" i="8"/>
  <c r="AE29" i="8"/>
  <c r="AE31" i="8"/>
  <c r="BO34" i="8"/>
  <c r="BM34" i="8"/>
  <c r="AD57" i="8"/>
  <c r="BH57" i="8" s="1"/>
  <c r="AF26" i="8"/>
  <c r="AG96" i="8"/>
  <c r="BK96" i="8" s="1"/>
  <c r="BN97" i="8"/>
  <c r="AF90" i="8"/>
  <c r="BA20" i="8"/>
  <c r="BC96" i="8"/>
  <c r="BO54" i="8"/>
  <c r="BP38" i="8"/>
  <c r="BD59" i="8"/>
  <c r="BC16" i="8"/>
  <c r="BC41" i="8"/>
  <c r="AE51" i="8"/>
  <c r="BI51" i="8" s="1"/>
  <c r="AD89" i="8"/>
  <c r="BH89" i="8" s="1"/>
  <c r="AE99" i="8"/>
  <c r="AF14" i="8"/>
  <c r="AD73" i="8"/>
  <c r="AD53" i="8"/>
  <c r="AF25" i="8"/>
  <c r="AF31" i="8"/>
  <c r="BJ31" i="8" s="1"/>
  <c r="AE12" i="8"/>
  <c r="AD7" i="8"/>
  <c r="AF20" i="8"/>
  <c r="BN35" i="8"/>
  <c r="AF85" i="8"/>
  <c r="BJ85" i="8" s="1"/>
  <c r="BP65" i="8"/>
  <c r="AE28" i="8"/>
  <c r="BL64" i="8"/>
  <c r="BL56" i="8"/>
  <c r="AW56" i="8"/>
  <c r="BN10" i="8"/>
  <c r="AY10" i="8"/>
  <c r="BF38" i="8"/>
  <c r="AG38" i="8"/>
  <c r="BK38" i="8" s="1"/>
  <c r="BB84" i="8"/>
  <c r="AC84" i="8"/>
  <c r="BG84" i="8" s="1"/>
  <c r="BF70" i="8"/>
  <c r="AG70" i="8"/>
  <c r="BK70" i="8" s="1"/>
  <c r="BF92" i="8"/>
  <c r="AG92" i="8"/>
  <c r="AE95" i="8"/>
  <c r="BI95" i="8" s="1"/>
  <c r="BD95" i="8"/>
  <c r="AF69" i="8"/>
  <c r="BJ69" i="8" s="1"/>
  <c r="BE69" i="8"/>
  <c r="AD63" i="8"/>
  <c r="BC63" i="8"/>
  <c r="AW54" i="8"/>
  <c r="BP55" i="8"/>
  <c r="BB14" i="8"/>
  <c r="AC14" i="8"/>
  <c r="BA25" i="8"/>
  <c r="BP25" i="8"/>
  <c r="BB52" i="8"/>
  <c r="AC52" i="8"/>
  <c r="BG52" i="8" s="1"/>
  <c r="AF74" i="8"/>
  <c r="BE74" i="8"/>
  <c r="AD74" i="8"/>
  <c r="BC74" i="8"/>
  <c r="AF36" i="8"/>
  <c r="BE36" i="8"/>
  <c r="AF59" i="8"/>
  <c r="BE59" i="8"/>
  <c r="AD59" i="8"/>
  <c r="BC59" i="8"/>
  <c r="AE70" i="8"/>
  <c r="BI70" i="8" s="1"/>
  <c r="BD70" i="8"/>
  <c r="AE83" i="8"/>
  <c r="BD83" i="8"/>
  <c r="AF83" i="8"/>
  <c r="BJ83" i="8" s="1"/>
  <c r="BE83" i="8"/>
  <c r="AG56" i="8"/>
  <c r="BA56" i="8"/>
  <c r="AE64" i="8"/>
  <c r="BI64" i="8" s="1"/>
  <c r="BD64" i="8"/>
  <c r="AF64" i="8"/>
  <c r="BE64" i="8"/>
  <c r="BF32" i="8"/>
  <c r="AG32" i="8"/>
  <c r="BK32" i="8" s="1"/>
  <c r="AE73" i="8"/>
  <c r="BD73" i="8"/>
  <c r="AE100" i="8"/>
  <c r="BD100" i="8"/>
  <c r="AE41" i="8"/>
  <c r="BD41" i="8"/>
  <c r="AE60" i="8"/>
  <c r="BD60" i="8"/>
  <c r="AE24" i="8"/>
  <c r="BD24" i="8"/>
  <c r="AE25" i="8"/>
  <c r="BD25" i="8"/>
  <c r="AD25" i="8"/>
  <c r="BC25" i="8"/>
  <c r="AF29" i="8"/>
  <c r="BJ29" i="8" s="1"/>
  <c r="BE29" i="8"/>
  <c r="AD31" i="8"/>
  <c r="BC31" i="8"/>
  <c r="AE66" i="8"/>
  <c r="BD66" i="8"/>
  <c r="AD12" i="8"/>
  <c r="BH12" i="8" s="1"/>
  <c r="BC12" i="8"/>
  <c r="AD8" i="8"/>
  <c r="BH8" i="8" s="1"/>
  <c r="BC8" i="8"/>
  <c r="AU88" i="8"/>
  <c r="BO88" i="8" s="1"/>
  <c r="BF63" i="8"/>
  <c r="AG63" i="8"/>
  <c r="AF38" i="8"/>
  <c r="BE38" i="8"/>
  <c r="AR38" i="8"/>
  <c r="BL38" i="8" s="1"/>
  <c r="AE57" i="8"/>
  <c r="BI57" i="8" s="1"/>
  <c r="BD57" i="8"/>
  <c r="AF23" i="8"/>
  <c r="BJ23" i="8" s="1"/>
  <c r="BE23" i="8"/>
  <c r="AD54" i="8"/>
  <c r="BH54" i="8" s="1"/>
  <c r="BC54" i="8"/>
  <c r="BB54" i="8"/>
  <c r="AC54" i="8"/>
  <c r="AE26" i="8"/>
  <c r="BI26" i="8" s="1"/>
  <c r="BD26" i="8"/>
  <c r="AF55" i="8"/>
  <c r="BE55" i="8"/>
  <c r="AC63" i="8"/>
  <c r="AR49" i="8"/>
  <c r="BL49" i="8" s="1"/>
  <c r="AC49" i="8"/>
  <c r="BB49" i="8"/>
  <c r="BF49" i="8"/>
  <c r="AG49" i="8"/>
  <c r="BF34" i="8"/>
  <c r="AG34" i="8"/>
  <c r="BB57" i="8"/>
  <c r="AC57" i="8"/>
  <c r="BF35" i="8"/>
  <c r="AG35" i="8"/>
  <c r="BK35" i="8" s="1"/>
  <c r="BF39" i="8"/>
  <c r="AG39" i="8"/>
  <c r="BK39" i="8" s="1"/>
  <c r="BF64" i="8"/>
  <c r="AG64" i="8"/>
  <c r="BF16" i="8"/>
  <c r="AG16" i="8"/>
  <c r="BK16" i="8" s="1"/>
  <c r="BF21" i="8"/>
  <c r="AG21" i="8"/>
  <c r="BB100" i="8"/>
  <c r="AC100" i="8"/>
  <c r="BG100" i="8" s="1"/>
  <c r="AE27" i="8"/>
  <c r="BI27" i="8" s="1"/>
  <c r="BD27" i="8"/>
  <c r="AX21" i="8"/>
  <c r="BM21" i="8"/>
  <c r="AD91" i="8"/>
  <c r="BH91" i="8" s="1"/>
  <c r="BC91" i="8"/>
  <c r="AD69" i="8"/>
  <c r="BC69" i="8"/>
  <c r="AW17" i="8"/>
  <c r="BN49" i="8"/>
  <c r="BF81" i="8"/>
  <c r="AG81" i="8"/>
  <c r="BB46" i="8"/>
  <c r="AC46" i="8"/>
  <c r="BB60" i="8"/>
  <c r="AC60" i="8"/>
  <c r="BG60" i="8" s="1"/>
  <c r="BA17" i="8"/>
  <c r="BN23" i="8"/>
  <c r="AY23" i="8"/>
  <c r="BB56" i="8"/>
  <c r="AC56" i="8"/>
  <c r="BB94" i="8"/>
  <c r="AC94" i="8"/>
  <c r="BG94" i="8" s="1"/>
  <c r="BB71" i="8"/>
  <c r="AC71" i="8"/>
  <c r="BG71" i="8" s="1"/>
  <c r="BE14" i="8"/>
  <c r="BD99" i="8"/>
  <c r="BF90" i="8"/>
  <c r="AG90" i="8"/>
  <c r="BB81" i="8"/>
  <c r="AC81" i="8"/>
  <c r="BF68" i="8"/>
  <c r="AG68" i="8"/>
  <c r="BF33" i="8"/>
  <c r="AG33" i="8"/>
  <c r="BB30" i="8"/>
  <c r="AC30" i="8"/>
  <c r="BD89" i="8"/>
  <c r="BF89" i="8"/>
  <c r="AG89" i="8"/>
  <c r="BB103" i="8"/>
  <c r="AC103" i="8"/>
  <c r="BG103" i="8" s="1"/>
  <c r="BB47" i="8"/>
  <c r="AC47" i="8"/>
  <c r="AD51" i="8"/>
  <c r="BH51" i="8" s="1"/>
  <c r="BC51" i="8"/>
  <c r="AE93" i="8"/>
  <c r="BI93" i="8" s="1"/>
  <c r="BD93" i="8"/>
  <c r="AD80" i="8"/>
  <c r="BH80" i="8" s="1"/>
  <c r="BC80" i="8"/>
  <c r="BA97" i="8"/>
  <c r="AD90" i="8"/>
  <c r="BC90" i="8"/>
  <c r="AR48" i="8"/>
  <c r="BL48" i="8" s="1"/>
  <c r="AD22" i="8"/>
  <c r="BH22" i="8" s="1"/>
  <c r="BC22" i="8"/>
  <c r="BP26" i="8"/>
  <c r="BA26" i="8"/>
  <c r="AZ67" i="8"/>
  <c r="BO67" i="8"/>
  <c r="AF13" i="8"/>
  <c r="BE13" i="8"/>
  <c r="BB44" i="8"/>
  <c r="AC44" i="8"/>
  <c r="BB20" i="8"/>
  <c r="AC20" i="8"/>
  <c r="BF44" i="8"/>
  <c r="AG44" i="8"/>
  <c r="BA44" i="8"/>
  <c r="AX90" i="8"/>
  <c r="BG23" i="8"/>
  <c r="BB101" i="8"/>
  <c r="AC101" i="8"/>
  <c r="BG101" i="8" s="1"/>
  <c r="BF57" i="8"/>
  <c r="AG57" i="8"/>
  <c r="BF58" i="8"/>
  <c r="AG58" i="8"/>
  <c r="BK58" i="8" s="1"/>
  <c r="BF99" i="8"/>
  <c r="AG99" i="8"/>
  <c r="BK99" i="8" s="1"/>
  <c r="BF84" i="8"/>
  <c r="AG84" i="8"/>
  <c r="BF75" i="8"/>
  <c r="AG75" i="8"/>
  <c r="BF83" i="8"/>
  <c r="AG83" i="8"/>
  <c r="BK83" i="8" s="1"/>
  <c r="BM27" i="8"/>
  <c r="BF51" i="8"/>
  <c r="AG51" i="8"/>
  <c r="BB37" i="8"/>
  <c r="AC37" i="8"/>
  <c r="BG37" i="8" s="1"/>
  <c r="BB53" i="8"/>
  <c r="AC53" i="8"/>
  <c r="BG53" i="8" s="1"/>
  <c r="BF25" i="8"/>
  <c r="AG25" i="8"/>
  <c r="BF31" i="8"/>
  <c r="AG31" i="8"/>
  <c r="BK31" i="8" s="1"/>
  <c r="BB8" i="8"/>
  <c r="AC8" i="8"/>
  <c r="AF67" i="8"/>
  <c r="BE67" i="8"/>
  <c r="AE16" i="8"/>
  <c r="BD16" i="8"/>
  <c r="AE18" i="8"/>
  <c r="BD18" i="8"/>
  <c r="AD18" i="8"/>
  <c r="BH18" i="8" s="1"/>
  <c r="BC18" i="8"/>
  <c r="AD21" i="8"/>
  <c r="BC21" i="8"/>
  <c r="AE35" i="8"/>
  <c r="BD35" i="8"/>
  <c r="AD85" i="8"/>
  <c r="BC85" i="8"/>
  <c r="AR81" i="8"/>
  <c r="AW81" i="8" s="1"/>
  <c r="AD81" i="8"/>
  <c r="BH81" i="8" s="1"/>
  <c r="BC81" i="8"/>
  <c r="AW50" i="8"/>
  <c r="BB91" i="8"/>
  <c r="AC91" i="8"/>
  <c r="BB38" i="8"/>
  <c r="AC38" i="8"/>
  <c r="BF48" i="8"/>
  <c r="AG48" i="8"/>
  <c r="BF50" i="8"/>
  <c r="AG50" i="8"/>
  <c r="BK50" i="8" s="1"/>
  <c r="BF9" i="8"/>
  <c r="AG9" i="8"/>
  <c r="BF65" i="8"/>
  <c r="AG65" i="8"/>
  <c r="BK65" i="8" s="1"/>
  <c r="BF36" i="8"/>
  <c r="AG36" i="8"/>
  <c r="BK36" i="8" s="1"/>
  <c r="BF59" i="8"/>
  <c r="AG59" i="8"/>
  <c r="BF95" i="8"/>
  <c r="AG95" i="8"/>
  <c r="BK95" i="8" s="1"/>
  <c r="BB28" i="8"/>
  <c r="AC28" i="8"/>
  <c r="BB16" i="8"/>
  <c r="AC16" i="8"/>
  <c r="BG16" i="8" s="1"/>
  <c r="BB51" i="8"/>
  <c r="AC51" i="8"/>
  <c r="BB25" i="8"/>
  <c r="AC25" i="8"/>
  <c r="BG25" i="8" s="1"/>
  <c r="BF29" i="8"/>
  <c r="AG29" i="8"/>
  <c r="BK29" i="8" s="1"/>
  <c r="BB92" i="8"/>
  <c r="AC92" i="8"/>
  <c r="AE36" i="8"/>
  <c r="BD36" i="8"/>
  <c r="AD70" i="8"/>
  <c r="BH70" i="8" s="1"/>
  <c r="AD95" i="8"/>
  <c r="BC95" i="8"/>
  <c r="AD27" i="8"/>
  <c r="AF28" i="8"/>
  <c r="BJ28" i="8" s="1"/>
  <c r="AD46" i="8"/>
  <c r="AE67" i="8"/>
  <c r="BI67" i="8" s="1"/>
  <c r="BD67" i="8"/>
  <c r="AF18" i="8"/>
  <c r="BJ18" i="8" s="1"/>
  <c r="AD93" i="8"/>
  <c r="AF80" i="8"/>
  <c r="BJ80" i="8" s="1"/>
  <c r="AD10" i="8"/>
  <c r="BH10" i="8" s="1"/>
  <c r="BC10" i="8"/>
  <c r="AF99" i="8"/>
  <c r="BJ99" i="8" s="1"/>
  <c r="BE99" i="8"/>
  <c r="AD71" i="8"/>
  <c r="AD64" i="8"/>
  <c r="BH64" i="8" s="1"/>
  <c r="BB58" i="8"/>
  <c r="AC58" i="8"/>
  <c r="BB98" i="8"/>
  <c r="AC98" i="8"/>
  <c r="AD100" i="8"/>
  <c r="BH100" i="8" s="1"/>
  <c r="AF37" i="8"/>
  <c r="AD60" i="8"/>
  <c r="AE72" i="8"/>
  <c r="BI72" i="8" s="1"/>
  <c r="AF66" i="8"/>
  <c r="BJ66" i="8" s="1"/>
  <c r="BE66" i="8"/>
  <c r="AF47" i="8"/>
  <c r="BJ47" i="8" s="1"/>
  <c r="AD82" i="8"/>
  <c r="AE82" i="8"/>
  <c r="BD82" i="8"/>
  <c r="AE92" i="8"/>
  <c r="BI92" i="8" s="1"/>
  <c r="BD92" i="8"/>
  <c r="AF88" i="8"/>
  <c r="BF69" i="8"/>
  <c r="AG69" i="8"/>
  <c r="AE34" i="8"/>
  <c r="AD34" i="8"/>
  <c r="BL101" i="8"/>
  <c r="AF57" i="8"/>
  <c r="BE57" i="8"/>
  <c r="AR57" i="8"/>
  <c r="AW57" i="8" s="1"/>
  <c r="AD26" i="8"/>
  <c r="BH26" i="8" s="1"/>
  <c r="BC26" i="8"/>
  <c r="AE96" i="8"/>
  <c r="BI96" i="8" s="1"/>
  <c r="AF91" i="8"/>
  <c r="BE91" i="8"/>
  <c r="AD13" i="8"/>
  <c r="BH13" i="8" s="1"/>
  <c r="BC13" i="8"/>
  <c r="AE13" i="8"/>
  <c r="BI13" i="8" s="1"/>
  <c r="BD13" i="8"/>
  <c r="AE17" i="8"/>
  <c r="BI17" i="8" s="1"/>
  <c r="BD17" i="8"/>
  <c r="AE20" i="8"/>
  <c r="BI20" i="8" s="1"/>
  <c r="BD20" i="8"/>
  <c r="AD20" i="8"/>
  <c r="BH20" i="8" s="1"/>
  <c r="BC20" i="8"/>
  <c r="AE63" i="8"/>
  <c r="BD63" i="8"/>
  <c r="AE102" i="8"/>
  <c r="AF84" i="8"/>
  <c r="AD97" i="8"/>
  <c r="AE90" i="8"/>
  <c r="BI90" i="8" s="1"/>
  <c r="AF48" i="8"/>
  <c r="BJ48" i="8" s="1"/>
  <c r="AF52" i="8"/>
  <c r="BJ52" i="8" s="1"/>
  <c r="BE52" i="8"/>
  <c r="AF9" i="8"/>
  <c r="BJ9" i="8" s="1"/>
  <c r="AE22" i="8"/>
  <c r="AF32" i="8"/>
  <c r="BE32" i="8"/>
  <c r="AE49" i="8"/>
  <c r="BI49" i="8" s="1"/>
  <c r="BD49" i="8"/>
  <c r="AD11" i="8"/>
  <c r="BC11" i="8"/>
  <c r="AF35" i="8"/>
  <c r="AD94" i="8"/>
  <c r="AF81" i="8"/>
  <c r="AD50" i="8"/>
  <c r="BH50" i="8" s="1"/>
  <c r="BB26" i="8"/>
  <c r="AC26" i="8"/>
  <c r="BB17" i="8"/>
  <c r="AC17" i="8"/>
  <c r="BF20" i="8"/>
  <c r="AG20" i="8"/>
  <c r="BF13" i="8"/>
  <c r="AG13" i="8"/>
  <c r="BK13" i="8" s="1"/>
  <c r="BB34" i="8"/>
  <c r="AC34" i="8"/>
  <c r="BB85" i="8"/>
  <c r="AC85" i="8"/>
  <c r="BG85" i="8" s="1"/>
  <c r="BB35" i="8"/>
  <c r="AC35" i="8"/>
  <c r="BF102" i="8"/>
  <c r="AG102" i="8"/>
  <c r="BK102" i="8" s="1"/>
  <c r="BB39" i="8"/>
  <c r="AC39" i="8"/>
  <c r="BB90" i="8"/>
  <c r="AC90" i="8"/>
  <c r="BB68" i="8"/>
  <c r="AC68" i="8"/>
  <c r="BB75" i="8"/>
  <c r="AC75" i="8"/>
  <c r="BG75" i="8" s="1"/>
  <c r="BB83" i="8"/>
  <c r="AC83" i="8"/>
  <c r="BB27" i="8"/>
  <c r="AC27" i="8"/>
  <c r="BG27" i="8" s="1"/>
  <c r="BF30" i="8"/>
  <c r="AG30" i="8"/>
  <c r="BK30" i="8" s="1"/>
  <c r="BF67" i="8"/>
  <c r="AG67" i="8"/>
  <c r="BF18" i="8"/>
  <c r="AG18" i="8"/>
  <c r="BK18" i="8" s="1"/>
  <c r="BB21" i="8"/>
  <c r="AC21" i="8"/>
  <c r="BB93" i="8"/>
  <c r="AC93" i="8"/>
  <c r="BG93" i="8" s="1"/>
  <c r="BB89" i="8"/>
  <c r="AC89" i="8"/>
  <c r="BG89" i="8" s="1"/>
  <c r="BB73" i="8"/>
  <c r="AC73" i="8"/>
  <c r="BG73" i="8" s="1"/>
  <c r="BF60" i="8"/>
  <c r="AG60" i="8"/>
  <c r="BB29" i="8"/>
  <c r="AC29" i="8"/>
  <c r="BG29" i="8" s="1"/>
  <c r="BF66" i="8"/>
  <c r="AG66" i="8"/>
  <c r="BK66" i="8" s="1"/>
  <c r="BF12" i="8"/>
  <c r="AG12" i="8"/>
  <c r="BK12" i="8" s="1"/>
  <c r="BN88" i="8"/>
  <c r="BO17" i="8"/>
  <c r="BN32" i="8"/>
  <c r="BF54" i="8"/>
  <c r="AG54" i="8"/>
  <c r="BF26" i="8"/>
  <c r="AG26" i="8"/>
  <c r="BF17" i="8"/>
  <c r="AG17" i="8"/>
  <c r="BF91" i="8"/>
  <c r="AG91" i="8"/>
  <c r="BK91" i="8" s="1"/>
  <c r="BF101" i="8"/>
  <c r="AG101" i="8"/>
  <c r="BB97" i="8"/>
  <c r="AC97" i="8"/>
  <c r="BG97" i="8" s="1"/>
  <c r="BF52" i="8"/>
  <c r="AG52" i="8"/>
  <c r="BA57" i="8"/>
  <c r="BB102" i="8"/>
  <c r="AC102" i="8"/>
  <c r="BG102" i="8" s="1"/>
  <c r="BF71" i="8"/>
  <c r="AG71" i="8"/>
  <c r="BK71" i="8" s="1"/>
  <c r="BF14" i="8"/>
  <c r="AG14" i="8"/>
  <c r="BK14" i="8" s="1"/>
  <c r="BB48" i="8"/>
  <c r="AC48" i="8"/>
  <c r="BB50" i="8"/>
  <c r="AC50" i="8"/>
  <c r="BB64" i="8"/>
  <c r="AC64" i="8"/>
  <c r="BB9" i="8"/>
  <c r="AC9" i="8"/>
  <c r="BG9" i="8" s="1"/>
  <c r="BB65" i="8"/>
  <c r="AC65" i="8"/>
  <c r="BG65" i="8" s="1"/>
  <c r="BB33" i="8"/>
  <c r="AC33" i="8"/>
  <c r="BF74" i="8"/>
  <c r="AG74" i="8"/>
  <c r="BK74" i="8" s="1"/>
  <c r="BB36" i="8"/>
  <c r="AC36" i="8"/>
  <c r="BG36" i="8" s="1"/>
  <c r="BF40" i="8"/>
  <c r="AG40" i="8"/>
  <c r="BK40" i="8" s="1"/>
  <c r="BB70" i="8"/>
  <c r="AC70" i="8"/>
  <c r="BG70" i="8" s="1"/>
  <c r="BB95" i="8"/>
  <c r="AC95" i="8"/>
  <c r="BG95" i="8" s="1"/>
  <c r="BF27" i="8"/>
  <c r="AG27" i="8"/>
  <c r="BK27" i="8" s="1"/>
  <c r="BF28" i="8"/>
  <c r="AG28" i="8"/>
  <c r="BK28" i="8" s="1"/>
  <c r="BB67" i="8"/>
  <c r="AC67" i="8"/>
  <c r="BB18" i="8"/>
  <c r="AC18" i="8"/>
  <c r="BG18" i="8" s="1"/>
  <c r="BF80" i="8"/>
  <c r="AG80" i="8"/>
  <c r="BK80" i="8" s="1"/>
  <c r="BF10" i="8"/>
  <c r="AG10" i="8"/>
  <c r="BK10" i="8" s="1"/>
  <c r="BL39" i="8"/>
  <c r="BF41" i="8"/>
  <c r="AG41" i="8"/>
  <c r="BM60" i="8"/>
  <c r="BF53" i="8"/>
  <c r="AG53" i="8"/>
  <c r="BK53" i="8" s="1"/>
  <c r="BF24" i="8"/>
  <c r="AG24" i="8"/>
  <c r="BK24" i="8" s="1"/>
  <c r="BF72" i="8"/>
  <c r="AG72" i="8"/>
  <c r="BK72" i="8" s="1"/>
  <c r="BB72" i="8"/>
  <c r="AC72" i="8"/>
  <c r="BB31" i="8"/>
  <c r="AC31" i="8"/>
  <c r="BG31" i="8" s="1"/>
  <c r="BB66" i="8"/>
  <c r="AC66" i="8"/>
  <c r="BG66" i="8" s="1"/>
  <c r="BB12" i="8"/>
  <c r="AC12" i="8"/>
  <c r="BG12" i="8" s="1"/>
  <c r="BF19" i="8"/>
  <c r="AG19" i="8"/>
  <c r="BF82" i="8"/>
  <c r="AG82" i="8"/>
  <c r="BF97" i="8"/>
  <c r="AG97" i="8"/>
  <c r="AF33" i="8"/>
  <c r="BJ33" i="8" s="1"/>
  <c r="AD33" i="8"/>
  <c r="AE75" i="8"/>
  <c r="AD75" i="8"/>
  <c r="BH75" i="8" s="1"/>
  <c r="AF40" i="8"/>
  <c r="AD40" i="8"/>
  <c r="BC40" i="8"/>
  <c r="AD83" i="8"/>
  <c r="AF27" i="8"/>
  <c r="BJ27" i="8" s="1"/>
  <c r="BE27" i="8"/>
  <c r="AF30" i="8"/>
  <c r="BJ30" i="8" s="1"/>
  <c r="BE30" i="8"/>
  <c r="AD67" i="8"/>
  <c r="BH67" i="8" s="1"/>
  <c r="AF21" i="8"/>
  <c r="AF93" i="8"/>
  <c r="BJ93" i="8" s="1"/>
  <c r="AE80" i="8"/>
  <c r="AE10" i="8"/>
  <c r="BD10" i="8"/>
  <c r="AE39" i="8"/>
  <c r="AD56" i="8"/>
  <c r="AD14" i="8"/>
  <c r="BH14" i="8" s="1"/>
  <c r="BC14" i="8"/>
  <c r="BL14" i="8"/>
  <c r="AE68" i="8"/>
  <c r="BD68" i="8"/>
  <c r="BF85" i="8"/>
  <c r="AG85" i="8"/>
  <c r="BF88" i="8"/>
  <c r="AG88" i="8"/>
  <c r="AF73" i="8"/>
  <c r="BJ73" i="8" s="1"/>
  <c r="BE73" i="8"/>
  <c r="AD37" i="8"/>
  <c r="AE37" i="8"/>
  <c r="AE103" i="8"/>
  <c r="BI103" i="8" s="1"/>
  <c r="AF103" i="8"/>
  <c r="AF60" i="8"/>
  <c r="BE60" i="8"/>
  <c r="AE53" i="8"/>
  <c r="AF72" i="8"/>
  <c r="AD72" i="8"/>
  <c r="AF12" i="8"/>
  <c r="BJ12" i="8" s="1"/>
  <c r="BE12" i="8"/>
  <c r="AD47" i="8"/>
  <c r="BH47" i="8" s="1"/>
  <c r="AF19" i="8"/>
  <c r="AF7" i="8"/>
  <c r="BE7" i="8"/>
  <c r="AF8" i="8"/>
  <c r="AD88" i="8"/>
  <c r="BH88" i="8" s="1"/>
  <c r="BF22" i="8"/>
  <c r="AG22" i="8"/>
  <c r="BK22" i="8" s="1"/>
  <c r="AF34" i="8"/>
  <c r="AE101" i="8"/>
  <c r="BI101" i="8" s="1"/>
  <c r="AD101" i="8"/>
  <c r="BH101" i="8" s="1"/>
  <c r="AD23" i="8"/>
  <c r="BH23" i="8" s="1"/>
  <c r="BC23" i="8"/>
  <c r="AE23" i="8"/>
  <c r="AE54" i="8"/>
  <c r="BI54" i="8" s="1"/>
  <c r="BD54" i="8"/>
  <c r="AD55" i="8"/>
  <c r="BH55" i="8" s="1"/>
  <c r="AE55" i="8"/>
  <c r="BI55" i="8" s="1"/>
  <c r="BC55" i="8"/>
  <c r="BB13" i="8"/>
  <c r="AC13" i="8"/>
  <c r="BP17" i="8"/>
  <c r="AF63" i="8"/>
  <c r="AE44" i="8"/>
  <c r="BD44" i="8"/>
  <c r="AF102" i="8"/>
  <c r="BJ102" i="8" s="1"/>
  <c r="AD58" i="8"/>
  <c r="AE84" i="8"/>
  <c r="BI84" i="8" s="1"/>
  <c r="BD84" i="8"/>
  <c r="AF97" i="8"/>
  <c r="BJ97" i="8" s="1"/>
  <c r="AD48" i="8"/>
  <c r="AD52" i="8"/>
  <c r="BH52" i="8" s="1"/>
  <c r="AD9" i="8"/>
  <c r="BC9" i="8"/>
  <c r="AE98" i="8"/>
  <c r="AD98" i="8"/>
  <c r="AD32" i="8"/>
  <c r="BH32" i="8" s="1"/>
  <c r="BC32" i="8"/>
  <c r="AE11" i="8"/>
  <c r="BI11" i="8" s="1"/>
  <c r="AF11" i="8"/>
  <c r="BJ11" i="8" s="1"/>
  <c r="BE11" i="8"/>
  <c r="AF94" i="8"/>
  <c r="BJ94" i="8" s="1"/>
  <c r="AE81" i="8"/>
  <c r="BI81" i="8" s="1"/>
  <c r="AF50" i="8"/>
  <c r="BE50" i="8"/>
  <c r="AE65" i="8"/>
  <c r="BD65" i="8"/>
  <c r="AD65" i="8"/>
  <c r="BH65" i="8" s="1"/>
  <c r="BB74" i="8"/>
  <c r="AC74" i="8"/>
  <c r="BG74" i="8" s="1"/>
  <c r="BB40" i="8"/>
  <c r="AC40" i="8"/>
  <c r="BG40" i="8" s="1"/>
  <c r="BB59" i="8"/>
  <c r="AC59" i="8"/>
  <c r="BG59" i="8" s="1"/>
  <c r="BF46" i="8"/>
  <c r="AG46" i="8"/>
  <c r="BF93" i="8"/>
  <c r="AG93" i="8"/>
  <c r="BK93" i="8" s="1"/>
  <c r="BB80" i="8"/>
  <c r="AC80" i="8"/>
  <c r="BG80" i="8" s="1"/>
  <c r="BB10" i="8"/>
  <c r="AC10" i="8"/>
  <c r="BG10" i="8" s="1"/>
  <c r="BB7" i="8"/>
  <c r="AC7" i="8"/>
  <c r="BF73" i="8"/>
  <c r="AG73" i="8"/>
  <c r="BF100" i="8"/>
  <c r="AG100" i="8"/>
  <c r="BF37" i="8"/>
  <c r="AG37" i="8"/>
  <c r="BF103" i="8"/>
  <c r="AG103" i="8"/>
  <c r="BB41" i="8"/>
  <c r="AC41" i="8"/>
  <c r="BG41" i="8" s="1"/>
  <c r="BB24" i="8"/>
  <c r="AC24" i="8"/>
  <c r="BG24" i="8" s="1"/>
  <c r="BF47" i="8"/>
  <c r="AG47" i="8"/>
  <c r="BB19" i="8"/>
  <c r="AC19" i="8"/>
  <c r="BG19" i="8" s="1"/>
  <c r="BB82" i="8"/>
  <c r="AC82" i="8"/>
  <c r="BO92" i="8"/>
  <c r="BF8" i="8"/>
  <c r="AG8" i="8"/>
  <c r="BK8" i="8" s="1"/>
  <c r="BB88" i="8"/>
  <c r="AC88" i="8"/>
  <c r="BF94" i="8"/>
  <c r="AG94" i="8"/>
  <c r="BK94" i="8" s="1"/>
  <c r="AE33" i="8"/>
  <c r="BI33" i="8" s="1"/>
  <c r="AD36" i="8"/>
  <c r="AF75" i="8"/>
  <c r="AE40" i="8"/>
  <c r="AF70" i="8"/>
  <c r="BJ70" i="8" s="1"/>
  <c r="BE70" i="8"/>
  <c r="AF95" i="8"/>
  <c r="BJ95" i="8" s="1"/>
  <c r="AD28" i="8"/>
  <c r="AE30" i="8"/>
  <c r="AE46" i="8"/>
  <c r="BI46" i="8" s="1"/>
  <c r="AF16" i="8"/>
  <c r="AF10" i="8"/>
  <c r="AF89" i="8"/>
  <c r="BJ89" i="8" s="1"/>
  <c r="AD99" i="8"/>
  <c r="AF39" i="8"/>
  <c r="BJ39" i="8" s="1"/>
  <c r="AE71" i="8"/>
  <c r="AF56" i="8"/>
  <c r="BJ56" i="8" s="1"/>
  <c r="AE14" i="8"/>
  <c r="BI14" i="8" s="1"/>
  <c r="AD68" i="8"/>
  <c r="BH68" i="8" s="1"/>
  <c r="BC68" i="8"/>
  <c r="AF68" i="8"/>
  <c r="BF55" i="8"/>
  <c r="AG55" i="8"/>
  <c r="BK55" i="8" s="1"/>
  <c r="BF7" i="8"/>
  <c r="AG7" i="8"/>
  <c r="AD103" i="8"/>
  <c r="AF41" i="8"/>
  <c r="AF53" i="8"/>
  <c r="BJ53" i="8" s="1"/>
  <c r="AF24" i="8"/>
  <c r="BJ24" i="8" s="1"/>
  <c r="AD24" i="8"/>
  <c r="BH24" i="8" s="1"/>
  <c r="AD29" i="8"/>
  <c r="AD66" i="8"/>
  <c r="AE47" i="8"/>
  <c r="AD19" i="8"/>
  <c r="AE19" i="8"/>
  <c r="AF82" i="8"/>
  <c r="BJ82" i="8" s="1"/>
  <c r="AF92" i="8"/>
  <c r="AE7" i="8"/>
  <c r="AE8" i="8"/>
  <c r="BI8" i="8" s="1"/>
  <c r="BD8" i="8"/>
  <c r="AE88" i="8"/>
  <c r="BF11" i="8"/>
  <c r="AG11" i="8"/>
  <c r="AF101" i="8"/>
  <c r="BE101" i="8"/>
  <c r="AF54" i="8"/>
  <c r="BE54" i="8"/>
  <c r="AF96" i="8"/>
  <c r="BE96" i="8"/>
  <c r="AE91" i="8"/>
  <c r="BI91" i="8" s="1"/>
  <c r="BD91" i="8"/>
  <c r="AF17" i="8"/>
  <c r="BE17" i="8"/>
  <c r="AD17" i="8"/>
  <c r="BH17" i="8" s="1"/>
  <c r="BC17" i="8"/>
  <c r="AF44" i="8"/>
  <c r="BE44" i="8"/>
  <c r="AD44" i="8"/>
  <c r="BC44" i="8"/>
  <c r="AD102" i="8"/>
  <c r="BC102" i="8"/>
  <c r="AF58" i="8"/>
  <c r="BE58" i="8"/>
  <c r="AE58" i="8"/>
  <c r="AE97" i="8"/>
  <c r="BI97" i="8" s="1"/>
  <c r="BL90" i="8"/>
  <c r="AE48" i="8"/>
  <c r="BD48" i="8"/>
  <c r="AE9" i="8"/>
  <c r="AF98" i="8"/>
  <c r="BJ98" i="8" s="1"/>
  <c r="BE98" i="8"/>
  <c r="AF22" i="8"/>
  <c r="BE22" i="8"/>
  <c r="AE32" i="8"/>
  <c r="AF49" i="8"/>
  <c r="BE49" i="8"/>
  <c r="AD49" i="8"/>
  <c r="BC49" i="8"/>
  <c r="AC11" i="8"/>
  <c r="BG11" i="8" s="1"/>
  <c r="AE50" i="8"/>
  <c r="AF65" i="8"/>
  <c r="BE65" i="8"/>
  <c r="CI85" i="10"/>
  <c r="CH85" i="10"/>
  <c r="CH87" i="10" s="1"/>
  <c r="CI46" i="10"/>
  <c r="CH46" i="10"/>
  <c r="CI11" i="10"/>
  <c r="CH11" i="10"/>
  <c r="CI17" i="10"/>
  <c r="CH17" i="10"/>
  <c r="CI72" i="10"/>
  <c r="CH72" i="10"/>
  <c r="CI15" i="10"/>
  <c r="CH15" i="10"/>
  <c r="CI26" i="10"/>
  <c r="CH26" i="10"/>
  <c r="CI101" i="10"/>
  <c r="CH101" i="10"/>
  <c r="CI18" i="10"/>
  <c r="CH18" i="10"/>
  <c r="CI67" i="10"/>
  <c r="CH67" i="10"/>
  <c r="CI34" i="10"/>
  <c r="CH34" i="10"/>
  <c r="CI69" i="10"/>
  <c r="CH69" i="10"/>
  <c r="CI10" i="10"/>
  <c r="CH10" i="10"/>
  <c r="CI53" i="10"/>
  <c r="CH53" i="10"/>
  <c r="CI103" i="10"/>
  <c r="CH103" i="10"/>
  <c r="CI96" i="10"/>
  <c r="CH96" i="10"/>
  <c r="CI21" i="10"/>
  <c r="CH21" i="10"/>
  <c r="CI39" i="10"/>
  <c r="CH39" i="10"/>
  <c r="CI65" i="10"/>
  <c r="CH65" i="10"/>
  <c r="CI30" i="10"/>
  <c r="CH30" i="10"/>
  <c r="CI27" i="10"/>
  <c r="CH27" i="10"/>
  <c r="CI73" i="10"/>
  <c r="CH73" i="10"/>
  <c r="CI32" i="10"/>
  <c r="CH32" i="10"/>
  <c r="CI52" i="10"/>
  <c r="CH52" i="10"/>
  <c r="CI48" i="10"/>
  <c r="CH48" i="10"/>
  <c r="CI89" i="10"/>
  <c r="CH89" i="10"/>
  <c r="CI82" i="10"/>
  <c r="CH82" i="10"/>
  <c r="CI16" i="10"/>
  <c r="CH16" i="10"/>
  <c r="CI59" i="10"/>
  <c r="CH59" i="10"/>
  <c r="CI68" i="10"/>
  <c r="CH68" i="10"/>
  <c r="CI76" i="10"/>
  <c r="CH76" i="10"/>
  <c r="CI98" i="10"/>
  <c r="CH98" i="10"/>
  <c r="CI54" i="10"/>
  <c r="CH54" i="10"/>
  <c r="CI23" i="10"/>
  <c r="CH23" i="10"/>
  <c r="CI57" i="10"/>
  <c r="CH57" i="10"/>
  <c r="CI86" i="10"/>
  <c r="CH86" i="10"/>
  <c r="CI14" i="10"/>
  <c r="CH14" i="10"/>
  <c r="CI74" i="10"/>
  <c r="CH74" i="10"/>
  <c r="CI9" i="10"/>
  <c r="CH9" i="10"/>
  <c r="CI37" i="10"/>
  <c r="CH37" i="10"/>
  <c r="CI20" i="10"/>
  <c r="CH20" i="10"/>
  <c r="CI29" i="10"/>
  <c r="CH29" i="10"/>
  <c r="CI70" i="10"/>
  <c r="CH70" i="10"/>
  <c r="CI66" i="10"/>
  <c r="CH66" i="10"/>
  <c r="CI94" i="10"/>
  <c r="CH94" i="10"/>
  <c r="CI31" i="10"/>
  <c r="CH31" i="10"/>
  <c r="CI61" i="10"/>
  <c r="CH61" i="10"/>
  <c r="CI49" i="10"/>
  <c r="CH49" i="10"/>
  <c r="CI93" i="10"/>
  <c r="CH93" i="10"/>
  <c r="CI81" i="10"/>
  <c r="CH81" i="10"/>
  <c r="CI19" i="10"/>
  <c r="CH19" i="10"/>
  <c r="CI102" i="10"/>
  <c r="CH102" i="10"/>
  <c r="CI22" i="10"/>
  <c r="CH22" i="10"/>
  <c r="CI92" i="10"/>
  <c r="CH92" i="10"/>
  <c r="CI41" i="10"/>
  <c r="CH41" i="10"/>
  <c r="CK8" i="10"/>
  <c r="CJ8" i="10"/>
  <c r="CI104" i="10"/>
  <c r="CH104" i="10"/>
  <c r="CI40" i="10"/>
  <c r="CH40" i="10"/>
  <c r="CI28" i="10"/>
  <c r="CH28" i="10"/>
  <c r="CI50" i="10"/>
  <c r="CH50" i="10"/>
  <c r="CI90" i="10"/>
  <c r="CH90" i="10"/>
  <c r="CI13" i="10"/>
  <c r="CH13" i="10"/>
  <c r="CI95" i="10"/>
  <c r="CH95" i="10"/>
  <c r="CI56" i="10"/>
  <c r="CH56" i="10"/>
  <c r="CI12" i="10"/>
  <c r="CH12" i="10"/>
  <c r="CI97" i="10"/>
  <c r="CH97" i="10"/>
  <c r="CI51" i="10"/>
  <c r="CH51" i="10"/>
  <c r="CI42" i="10"/>
  <c r="CH42" i="10"/>
  <c r="CI84" i="10"/>
  <c r="CH84" i="10"/>
  <c r="CI100" i="10"/>
  <c r="CH100" i="10"/>
  <c r="CI24" i="10"/>
  <c r="CH24" i="10"/>
  <c r="CI99" i="10"/>
  <c r="CH99" i="10"/>
  <c r="CI33" i="10"/>
  <c r="CH33" i="10"/>
  <c r="CI38" i="10"/>
  <c r="CH38" i="10"/>
  <c r="CI36" i="10"/>
  <c r="CH36" i="10"/>
  <c r="CI71" i="10"/>
  <c r="CH71" i="10"/>
  <c r="CK80" i="10"/>
  <c r="CJ80" i="10"/>
  <c r="CI35" i="10"/>
  <c r="CH35" i="10"/>
  <c r="CI47" i="10"/>
  <c r="CH47" i="10"/>
  <c r="CK79" i="10"/>
  <c r="CJ79" i="10"/>
  <c r="CI83" i="10"/>
  <c r="CH83" i="10"/>
  <c r="CI75" i="10"/>
  <c r="CH75" i="10"/>
  <c r="CI58" i="10"/>
  <c r="CH58" i="10"/>
  <c r="CI60" i="10"/>
  <c r="CH60" i="10"/>
  <c r="CI25" i="10"/>
  <c r="CH25" i="10"/>
  <c r="CI91" i="10"/>
  <c r="CH91" i="10"/>
  <c r="CI64" i="10"/>
  <c r="CI77" i="10" s="1"/>
  <c r="CH64" i="10"/>
  <c r="CG55" i="10"/>
  <c r="CG62" i="10" s="1"/>
  <c r="CF55" i="10"/>
  <c r="CI45" i="10"/>
  <c r="CH45" i="10"/>
  <c r="BM107" i="10"/>
  <c r="BL107" i="10"/>
  <c r="AZ19" i="8"/>
  <c r="AX28" i="8"/>
  <c r="BP99" i="8"/>
  <c r="BP72" i="8"/>
  <c r="BO47" i="8"/>
  <c r="BP71" i="8"/>
  <c r="BP90" i="8"/>
  <c r="BP102" i="8"/>
  <c r="BM70" i="8"/>
  <c r="BP74" i="8"/>
  <c r="BP36" i="8"/>
  <c r="BO95" i="8"/>
  <c r="BO38" i="8"/>
  <c r="BP30" i="8"/>
  <c r="AZ26" i="8"/>
  <c r="BM23" i="8"/>
  <c r="BP40" i="8"/>
  <c r="BP24" i="8"/>
  <c r="BM103" i="8"/>
  <c r="BP66" i="8"/>
  <c r="BL93" i="8"/>
  <c r="AW83" i="8"/>
  <c r="AW26" i="8"/>
  <c r="BL102" i="8"/>
  <c r="AW63" i="8"/>
  <c r="BL74" i="8"/>
  <c r="BL41" i="8"/>
  <c r="BL60" i="8"/>
  <c r="BL23" i="8"/>
  <c r="BL9" i="8"/>
  <c r="BL12" i="8"/>
  <c r="BL92" i="8"/>
  <c r="BO102" i="8"/>
  <c r="BO21" i="8"/>
  <c r="BO57" i="8"/>
  <c r="BO31" i="8"/>
  <c r="BN67" i="8"/>
  <c r="AY24" i="8"/>
  <c r="BN38" i="8"/>
  <c r="AY12" i="8"/>
  <c r="BM17" i="8"/>
  <c r="AX30" i="8"/>
  <c r="AX27" i="8"/>
  <c r="BN89" i="8"/>
  <c r="BN103" i="8"/>
  <c r="AY22" i="8"/>
  <c r="BN57" i="8"/>
  <c r="BN52" i="8"/>
  <c r="BN95" i="8"/>
  <c r="BN21" i="8"/>
  <c r="BN48" i="8"/>
  <c r="BN28" i="8"/>
  <c r="BN60" i="8"/>
  <c r="BM40" i="8"/>
  <c r="BM64" i="8"/>
  <c r="AX60" i="8"/>
  <c r="BM50" i="8"/>
  <c r="BM89" i="8"/>
  <c r="BM12" i="8"/>
  <c r="BO82" i="8"/>
  <c r="BP13" i="8"/>
  <c r="BP63" i="8"/>
  <c r="BO9" i="8"/>
  <c r="BO11" i="8"/>
  <c r="BO46" i="8"/>
  <c r="BK107" i="10"/>
  <c r="BO107" i="10"/>
  <c r="BG107" i="10"/>
  <c r="BH107" i="10"/>
  <c r="BN107" i="10"/>
  <c r="BF107" i="10"/>
  <c r="BI107" i="10"/>
  <c r="BO84" i="8"/>
  <c r="AZ84" i="8"/>
  <c r="BJ84" i="8" s="1"/>
  <c r="AV98" i="8"/>
  <c r="BP98" i="8" s="1"/>
  <c r="BA9" i="8"/>
  <c r="AS99" i="8"/>
  <c r="BM99" i="8" s="1"/>
  <c r="BM48" i="8"/>
  <c r="BM59" i="8"/>
  <c r="BP83" i="8"/>
  <c r="BO28" i="8"/>
  <c r="AY32" i="8"/>
  <c r="BA75" i="8"/>
  <c r="BL71" i="8"/>
  <c r="AR32" i="8"/>
  <c r="AW32" i="8" s="1"/>
  <c r="AV52" i="8"/>
  <c r="BA52" i="8" s="1"/>
  <c r="AS84" i="8"/>
  <c r="AX84" i="8" s="1"/>
  <c r="AS33" i="8"/>
  <c r="AX33" i="8" s="1"/>
  <c r="BM20" i="8"/>
  <c r="AS98" i="8"/>
  <c r="BM98" i="8" s="1"/>
  <c r="AR34" i="8"/>
  <c r="AW34" i="8" s="1"/>
  <c r="BP32" i="8"/>
  <c r="AX69" i="8"/>
  <c r="BN54" i="8"/>
  <c r="BN91" i="8"/>
  <c r="BN13" i="8"/>
  <c r="AZ38" i="8"/>
  <c r="BN96" i="8"/>
  <c r="BN55" i="8"/>
  <c r="BP84" i="8"/>
  <c r="BO14" i="8"/>
  <c r="BA101" i="8"/>
  <c r="AW39" i="8"/>
  <c r="BG39" i="8" s="1"/>
  <c r="BM97" i="8"/>
  <c r="BM94" i="8"/>
  <c r="AX49" i="8"/>
  <c r="AY50" i="8"/>
  <c r="BP81" i="8"/>
  <c r="BP9" i="8"/>
  <c r="BO35" i="8"/>
  <c r="AT102" i="8"/>
  <c r="BN102" i="8" s="1"/>
  <c r="BP39" i="8"/>
  <c r="BO39" i="8"/>
  <c r="AS58" i="8"/>
  <c r="BM58" i="8" s="1"/>
  <c r="BP94" i="8"/>
  <c r="BN84" i="8"/>
  <c r="BL85" i="8"/>
  <c r="BO85" i="8"/>
  <c r="AX97" i="8"/>
  <c r="BN90" i="8"/>
  <c r="BN14" i="8"/>
  <c r="AY48" i="8"/>
  <c r="AU68" i="8"/>
  <c r="BO68" i="8" s="1"/>
  <c r="AU64" i="8"/>
  <c r="BO64" i="8" s="1"/>
  <c r="BP50" i="8"/>
  <c r="AT59" i="8"/>
  <c r="AY59" i="8" s="1"/>
  <c r="AT74" i="8"/>
  <c r="AY74" i="8" s="1"/>
  <c r="AT36" i="8"/>
  <c r="BN36" i="8" s="1"/>
  <c r="BM75" i="8"/>
  <c r="BP75" i="8"/>
  <c r="AX40" i="8"/>
  <c r="BL40" i="8"/>
  <c r="AU40" i="8"/>
  <c r="AZ40" i="8" s="1"/>
  <c r="BN70" i="8"/>
  <c r="BL70" i="8"/>
  <c r="BO70" i="8"/>
  <c r="BL95" i="8"/>
  <c r="BP27" i="8"/>
  <c r="BL30" i="8"/>
  <c r="BO30" i="8"/>
  <c r="BM16" i="8"/>
  <c r="BP18" i="8"/>
  <c r="BN18" i="8"/>
  <c r="AV51" i="8"/>
  <c r="BA51" i="8" s="1"/>
  <c r="BO51" i="8"/>
  <c r="BN51" i="8"/>
  <c r="BM80" i="8"/>
  <c r="BL80" i="8"/>
  <c r="BP10" i="8"/>
  <c r="AY89" i="8"/>
  <c r="BL16" i="8"/>
  <c r="AW91" i="8"/>
  <c r="BM73" i="8"/>
  <c r="BM14" i="8"/>
  <c r="BA64" i="8"/>
  <c r="BN73" i="8"/>
  <c r="BL73" i="8"/>
  <c r="BO73" i="8"/>
  <c r="BN100" i="8"/>
  <c r="BM37" i="8"/>
  <c r="BN37" i="8"/>
  <c r="AU103" i="8"/>
  <c r="AZ103" i="8" s="1"/>
  <c r="AV41" i="8"/>
  <c r="BP41" i="8" s="1"/>
  <c r="AV60" i="8"/>
  <c r="BA60" i="8" s="1"/>
  <c r="BP53" i="8"/>
  <c r="AX25" i="8"/>
  <c r="BM25" i="8"/>
  <c r="BM72" i="8"/>
  <c r="AX72" i="8"/>
  <c r="BP29" i="8"/>
  <c r="BP31" i="8"/>
  <c r="AW47" i="8"/>
  <c r="BP19" i="8"/>
  <c r="AS92" i="8"/>
  <c r="AX92" i="8" s="1"/>
  <c r="BH92" i="8" s="1"/>
  <c r="AW92" i="8"/>
  <c r="AU7" i="8"/>
  <c r="AR7" i="8"/>
  <c r="BM55" i="8"/>
  <c r="BO80" i="8"/>
  <c r="BM96" i="8"/>
  <c r="AX93" i="8"/>
  <c r="BH93" i="8" s="1"/>
  <c r="BA89" i="8"/>
  <c r="BP73" i="8"/>
  <c r="AU41" i="8"/>
  <c r="BO41" i="8" s="1"/>
  <c r="AU60" i="8"/>
  <c r="AZ60" i="8" s="1"/>
  <c r="BL19" i="8"/>
  <c r="AW82" i="8"/>
  <c r="BA84" i="8"/>
  <c r="AZ65" i="8"/>
  <c r="AS11" i="8"/>
  <c r="BM11" i="8" s="1"/>
  <c r="AZ25" i="8"/>
  <c r="AX66" i="8"/>
  <c r="AY73" i="8"/>
  <c r="BA59" i="8"/>
  <c r="AZ91" i="8"/>
  <c r="BJ91" i="8" s="1"/>
  <c r="AV48" i="8"/>
  <c r="BA48" i="8" s="1"/>
  <c r="BO69" i="8"/>
  <c r="AS74" i="8"/>
  <c r="AX74" i="8" s="1"/>
  <c r="AZ17" i="8"/>
  <c r="AY9" i="8"/>
  <c r="AT99" i="8"/>
  <c r="AY99" i="8" s="1"/>
  <c r="AW99" i="8"/>
  <c r="AT39" i="8"/>
  <c r="AY39" i="8" s="1"/>
  <c r="AW58" i="8"/>
  <c r="BO94" i="8"/>
  <c r="AZ90" i="8"/>
  <c r="BM68" i="8"/>
  <c r="BL52" i="8"/>
  <c r="BN9" i="8"/>
  <c r="BL75" i="8"/>
  <c r="AU75" i="8"/>
  <c r="AZ75" i="8" s="1"/>
  <c r="BO83" i="8"/>
  <c r="BP46" i="8"/>
  <c r="BP67" i="8"/>
  <c r="BP16" i="8"/>
  <c r="BL18" i="8"/>
  <c r="AR51" i="8"/>
  <c r="BL51" i="8" s="1"/>
  <c r="BM22" i="8"/>
  <c r="BL37" i="8"/>
  <c r="AW13" i="8"/>
  <c r="BA73" i="8"/>
  <c r="AV100" i="8"/>
  <c r="BP100" i="8" s="1"/>
  <c r="AY100" i="8"/>
  <c r="BI100" i="8" s="1"/>
  <c r="AU100" i="8"/>
  <c r="BO100" i="8" s="1"/>
  <c r="AY37" i="8"/>
  <c r="AU37" i="8"/>
  <c r="BO37" i="8" s="1"/>
  <c r="AV103" i="8"/>
  <c r="BA103" i="8" s="1"/>
  <c r="BL53" i="8"/>
  <c r="BO53" i="8"/>
  <c r="BL24" i="8"/>
  <c r="BL29" i="8"/>
  <c r="BO29" i="8"/>
  <c r="BM31" i="8"/>
  <c r="BL31" i="8"/>
  <c r="BN66" i="8"/>
  <c r="BA47" i="8"/>
  <c r="AS19" i="8"/>
  <c r="BM19" i="8" s="1"/>
  <c r="BP82" i="8"/>
  <c r="AV7" i="8"/>
  <c r="AU81" i="8"/>
  <c r="BO81" i="8" s="1"/>
  <c r="AW64" i="8"/>
  <c r="BP22" i="8"/>
  <c r="AW35" i="8"/>
  <c r="BG35" i="8" s="1"/>
  <c r="BL58" i="8"/>
  <c r="AU50" i="8"/>
  <c r="AZ50" i="8" s="1"/>
  <c r="AU74" i="8"/>
  <c r="BO74" i="8" s="1"/>
  <c r="BL36" i="8"/>
  <c r="AT75" i="8"/>
  <c r="BN75" i="8" s="1"/>
  <c r="AX59" i="8"/>
  <c r="BP70" i="8"/>
  <c r="BL28" i="8"/>
  <c r="AW46" i="8"/>
  <c r="BO16" i="8"/>
  <c r="AR21" i="8"/>
  <c r="AW21" i="8" s="1"/>
  <c r="BM93" i="8"/>
  <c r="AT82" i="8"/>
  <c r="AY82" i="8" s="1"/>
  <c r="BO72" i="8"/>
  <c r="BO12" i="8"/>
  <c r="AS82" i="8"/>
  <c r="AX82" i="8" s="1"/>
  <c r="AT7" i="8"/>
  <c r="AW8" i="8"/>
  <c r="BG8" i="8" s="1"/>
  <c r="AY66" i="8"/>
  <c r="AZ92" i="8"/>
  <c r="AZ35" i="8"/>
  <c r="AZ16" i="8"/>
  <c r="AZ54" i="8"/>
  <c r="AX48" i="8"/>
  <c r="AT83" i="8"/>
  <c r="BN83" i="8" s="1"/>
  <c r="AT30" i="8"/>
  <c r="BN30" i="8" s="1"/>
  <c r="AU101" i="8"/>
  <c r="AZ101" i="8" s="1"/>
  <c r="BL96" i="8"/>
  <c r="BN26" i="8"/>
  <c r="AS102" i="8"/>
  <c r="BM102" i="8" s="1"/>
  <c r="AT58" i="8"/>
  <c r="AY58" i="8" s="1"/>
  <c r="BK85" i="8"/>
  <c r="BM65" i="8"/>
  <c r="AS35" i="8"/>
  <c r="AX35" i="8" s="1"/>
  <c r="BL94" i="8"/>
  <c r="BP56" i="8"/>
  <c r="AZ14" i="8"/>
  <c r="BN64" i="8"/>
  <c r="BP91" i="8"/>
  <c r="BP33" i="8"/>
  <c r="BM36" i="8"/>
  <c r="BP59" i="8"/>
  <c r="BM95" i="8"/>
  <c r="BN27" i="8"/>
  <c r="BN46" i="8"/>
  <c r="AZ51" i="8"/>
  <c r="BP93" i="8"/>
  <c r="BA81" i="8"/>
  <c r="AY16" i="8"/>
  <c r="AX95" i="8"/>
  <c r="AX73" i="8"/>
  <c r="AX46" i="8"/>
  <c r="AZ72" i="8"/>
  <c r="AW28" i="8"/>
  <c r="AY25" i="8"/>
  <c r="BO71" i="8"/>
  <c r="AU44" i="8"/>
  <c r="AR67" i="8"/>
  <c r="AW67" i="8" s="1"/>
  <c r="AZ13" i="8"/>
  <c r="AS85" i="8"/>
  <c r="BM85" i="8" s="1"/>
  <c r="AS56" i="8"/>
  <c r="AX56" i="8" s="1"/>
  <c r="AV92" i="8"/>
  <c r="BA92" i="8" s="1"/>
  <c r="BM101" i="8"/>
  <c r="BM38" i="8"/>
  <c r="BM57" i="8"/>
  <c r="AR98" i="8"/>
  <c r="BL98" i="8" s="1"/>
  <c r="BP96" i="8"/>
  <c r="BL55" i="8"/>
  <c r="BP69" i="8"/>
  <c r="BL22" i="8"/>
  <c r="AU20" i="8"/>
  <c r="BO20" i="8" s="1"/>
  <c r="AU49" i="8"/>
  <c r="BO49" i="8" s="1"/>
  <c r="AT63" i="8"/>
  <c r="AV34" i="8"/>
  <c r="BP34" i="8" s="1"/>
  <c r="AZ34" i="8"/>
  <c r="BN101" i="8"/>
  <c r="AZ57" i="8"/>
  <c r="AT47" i="8"/>
  <c r="BN47" i="8" s="1"/>
  <c r="AR68" i="8"/>
  <c r="BL68" i="8" s="1"/>
  <c r="BL65" i="8"/>
  <c r="BO90" i="8"/>
  <c r="BM44" i="8"/>
  <c r="BA69" i="8"/>
  <c r="BP35" i="8"/>
  <c r="BP14" i="8"/>
  <c r="BL99" i="8"/>
  <c r="BL35" i="8"/>
  <c r="BP58" i="8"/>
  <c r="AX94" i="8"/>
  <c r="BO56" i="8"/>
  <c r="BN81" i="8"/>
  <c r="AY68" i="8"/>
  <c r="BN50" i="8"/>
  <c r="BO33" i="8"/>
  <c r="AX36" i="8"/>
  <c r="BH36" i="8" s="1"/>
  <c r="AU36" i="8"/>
  <c r="BO36" i="8" s="1"/>
  <c r="AT40" i="8"/>
  <c r="BN40" i="8" s="1"/>
  <c r="AU59" i="8"/>
  <c r="AZ59" i="8" s="1"/>
  <c r="BL59" i="8"/>
  <c r="BP95" i="8"/>
  <c r="BO27" i="8"/>
  <c r="BP28" i="8"/>
  <c r="BI28" i="8"/>
  <c r="BM46" i="8"/>
  <c r="BL46" i="8"/>
  <c r="BA46" i="8"/>
  <c r="BK46" i="8" s="1"/>
  <c r="BM67" i="8"/>
  <c r="BA67" i="8"/>
  <c r="BN16" i="8"/>
  <c r="BO18" i="8"/>
  <c r="BM18" i="8"/>
  <c r="AV21" i="8"/>
  <c r="BA21" i="8" s="1"/>
  <c r="BK21" i="8" s="1"/>
  <c r="AZ21" i="8"/>
  <c r="BO93" i="8"/>
  <c r="BP89" i="8"/>
  <c r="BM10" i="8"/>
  <c r="AW33" i="8"/>
  <c r="BL89" i="8"/>
  <c r="BM81" i="8"/>
  <c r="BM32" i="8"/>
  <c r="BO48" i="8"/>
  <c r="BP8" i="8"/>
  <c r="BL100" i="8"/>
  <c r="AV37" i="8"/>
  <c r="BA37" i="8" s="1"/>
  <c r="BH103" i="8"/>
  <c r="AY41" i="8"/>
  <c r="BM41" i="8"/>
  <c r="BN41" i="8"/>
  <c r="AY60" i="8"/>
  <c r="BM53" i="8"/>
  <c r="AX53" i="8"/>
  <c r="BO24" i="8"/>
  <c r="BM24" i="8"/>
  <c r="BL25" i="8"/>
  <c r="BN25" i="8"/>
  <c r="BM29" i="8"/>
  <c r="AX29" i="8"/>
  <c r="AX31" i="8"/>
  <c r="BO66" i="8"/>
  <c r="BM66" i="8"/>
  <c r="BL66" i="8"/>
  <c r="BL47" i="8"/>
  <c r="BM47" i="8"/>
  <c r="BA19" i="8"/>
  <c r="AT19" i="8"/>
  <c r="BN19" i="8" s="1"/>
  <c r="BM82" i="8"/>
  <c r="BL82" i="8"/>
  <c r="BA82" i="8"/>
  <c r="BN92" i="8"/>
  <c r="AS7" i="8"/>
  <c r="BM8" i="8"/>
  <c r="BL8" i="8"/>
  <c r="BN8" i="8"/>
  <c r="BA33" i="8"/>
  <c r="BA88" i="8"/>
  <c r="AR88" i="8"/>
  <c r="BL88" i="8" s="1"/>
  <c r="AY88" i="8"/>
  <c r="BJ107" i="10"/>
  <c r="AZ71" i="8"/>
  <c r="AY71" i="8"/>
  <c r="BN71" i="8"/>
  <c r="AS71" i="8"/>
  <c r="AX71" i="8" s="1"/>
  <c r="BQ41" i="8"/>
  <c r="BQ38" i="8"/>
  <c r="CI87" i="10" l="1"/>
  <c r="CF106" i="10"/>
  <c r="CI105" i="10"/>
  <c r="DE79" i="10"/>
  <c r="DD87" i="10"/>
  <c r="CH77" i="10"/>
  <c r="CG106" i="10"/>
  <c r="DE45" i="10"/>
  <c r="DD62" i="10"/>
  <c r="DE89" i="10"/>
  <c r="DD105" i="10"/>
  <c r="CH105" i="10"/>
  <c r="DC106" i="10"/>
  <c r="DE64" i="10"/>
  <c r="DD77" i="10"/>
  <c r="CH43" i="10"/>
  <c r="CI43" i="10"/>
  <c r="DE8" i="10"/>
  <c r="DD43" i="10"/>
  <c r="BB76" i="8"/>
  <c r="BJ13" i="8"/>
  <c r="BK49" i="8"/>
  <c r="BN44" i="8"/>
  <c r="BK97" i="8"/>
  <c r="BM76" i="8"/>
  <c r="BN63" i="8"/>
  <c r="AT76" i="8"/>
  <c r="BP76" i="8"/>
  <c r="AE76" i="8"/>
  <c r="BF76" i="8"/>
  <c r="BC76" i="8"/>
  <c r="BE76" i="8"/>
  <c r="AU76" i="8"/>
  <c r="BH46" i="8"/>
  <c r="BI82" i="8"/>
  <c r="BI98" i="8"/>
  <c r="AF76" i="8"/>
  <c r="BK25" i="8"/>
  <c r="AD76" i="8"/>
  <c r="BH90" i="8"/>
  <c r="BA63" i="8"/>
  <c r="BA76" i="8" s="1"/>
  <c r="AV76" i="8"/>
  <c r="AR76" i="8"/>
  <c r="AX63" i="8"/>
  <c r="AX76" i="8" s="1"/>
  <c r="AS76" i="8"/>
  <c r="BH95" i="8"/>
  <c r="BH97" i="8"/>
  <c r="BH84" i="8"/>
  <c r="BL63" i="8"/>
  <c r="BJ35" i="8"/>
  <c r="BD76" i="8"/>
  <c r="AC76" i="8"/>
  <c r="BK63" i="8"/>
  <c r="AG76" i="8"/>
  <c r="BH34" i="8"/>
  <c r="BO44" i="8"/>
  <c r="BI89" i="8"/>
  <c r="AX44" i="8"/>
  <c r="BH44" i="8" s="1"/>
  <c r="BJ32" i="8"/>
  <c r="BI34" i="8"/>
  <c r="BA7" i="8"/>
  <c r="BK7" i="8" s="1"/>
  <c r="BJ71" i="8"/>
  <c r="AW7" i="8"/>
  <c r="BG7" i="8" s="1"/>
  <c r="BI65" i="8"/>
  <c r="BM7" i="8"/>
  <c r="BN7" i="8"/>
  <c r="AZ7" i="8"/>
  <c r="BJ7" i="8" s="1"/>
  <c r="BG20" i="8"/>
  <c r="BK52" i="8"/>
  <c r="BI32" i="8"/>
  <c r="BK68" i="8"/>
  <c r="BK48" i="8"/>
  <c r="BJ26" i="8"/>
  <c r="BI18" i="8"/>
  <c r="BG82" i="8"/>
  <c r="BH33" i="8"/>
  <c r="BJ65" i="8"/>
  <c r="BH40" i="8"/>
  <c r="BG83" i="8"/>
  <c r="BK11" i="8"/>
  <c r="BH37" i="8"/>
  <c r="BG72" i="8"/>
  <c r="BK23" i="8"/>
  <c r="BJ96" i="8"/>
  <c r="BJ58" i="8"/>
  <c r="BI88" i="8"/>
  <c r="BH53" i="8"/>
  <c r="BJ21" i="8"/>
  <c r="BK81" i="8"/>
  <c r="BJ92" i="8"/>
  <c r="BG46" i="8"/>
  <c r="BI9" i="8"/>
  <c r="BP23" i="8"/>
  <c r="BK103" i="8"/>
  <c r="BG33" i="8"/>
  <c r="BK92" i="8"/>
  <c r="BG67" i="8"/>
  <c r="BJ51" i="8"/>
  <c r="BK84" i="8"/>
  <c r="BG32" i="8"/>
  <c r="BJ10" i="8"/>
  <c r="BG90" i="8"/>
  <c r="BK20" i="8"/>
  <c r="BG30" i="8"/>
  <c r="BJ55" i="8"/>
  <c r="BI24" i="8"/>
  <c r="BK56" i="8"/>
  <c r="BI29" i="8"/>
  <c r="BK90" i="8"/>
  <c r="BI31" i="8"/>
  <c r="BG14" i="8"/>
  <c r="BI50" i="8"/>
  <c r="BH35" i="8"/>
  <c r="BI58" i="8"/>
  <c r="BL69" i="8"/>
  <c r="BJ16" i="8"/>
  <c r="BJ17" i="8"/>
  <c r="BJ8" i="8"/>
  <c r="BI53" i="8"/>
  <c r="BI41" i="8"/>
  <c r="BJ34" i="8"/>
  <c r="BH73" i="8"/>
  <c r="BG58" i="8"/>
  <c r="BJ60" i="8"/>
  <c r="BA41" i="8"/>
  <c r="BK41" i="8" s="1"/>
  <c r="BI74" i="8"/>
  <c r="BI12" i="8"/>
  <c r="BI35" i="8"/>
  <c r="BH39" i="8"/>
  <c r="BJ63" i="8"/>
  <c r="BI73" i="8"/>
  <c r="BH30" i="8"/>
  <c r="BJ54" i="8"/>
  <c r="BI66" i="8"/>
  <c r="BG21" i="8"/>
  <c r="AW51" i="8"/>
  <c r="BG51" i="8" s="1"/>
  <c r="BH74" i="8"/>
  <c r="BK59" i="8"/>
  <c r="BG47" i="8"/>
  <c r="BH72" i="8"/>
  <c r="BK60" i="8"/>
  <c r="BK33" i="8"/>
  <c r="BP7" i="8"/>
  <c r="BK47" i="8"/>
  <c r="BH49" i="8"/>
  <c r="BG26" i="8"/>
  <c r="BH21" i="8"/>
  <c r="BG44" i="8"/>
  <c r="BK54" i="8"/>
  <c r="BI71" i="8"/>
  <c r="BH31" i="8"/>
  <c r="BH59" i="8"/>
  <c r="BJ90" i="8"/>
  <c r="BI39" i="8"/>
  <c r="BK82" i="8"/>
  <c r="BH29" i="8"/>
  <c r="BJ72" i="8"/>
  <c r="BJ14" i="8"/>
  <c r="BH48" i="8"/>
  <c r="BL32" i="8"/>
  <c r="BJ75" i="8"/>
  <c r="BG92" i="8"/>
  <c r="BH25" i="8"/>
  <c r="BJ103" i="8"/>
  <c r="BI59" i="8"/>
  <c r="BK101" i="8"/>
  <c r="BH69" i="8"/>
  <c r="BK75" i="8"/>
  <c r="BK9" i="8"/>
  <c r="BL57" i="8"/>
  <c r="BG81" i="8"/>
  <c r="AW38" i="8"/>
  <c r="BG38" i="8" s="1"/>
  <c r="BJ25" i="8"/>
  <c r="BG99" i="8"/>
  <c r="BJ22" i="8"/>
  <c r="BJ19" i="8"/>
  <c r="BI80" i="8"/>
  <c r="BK26" i="8"/>
  <c r="BJ57" i="8"/>
  <c r="BH71" i="8"/>
  <c r="BK67" i="8"/>
  <c r="BK19" i="8"/>
  <c r="BI68" i="8"/>
  <c r="BJ50" i="8"/>
  <c r="BK51" i="8"/>
  <c r="BK69" i="8"/>
  <c r="BH56" i="8"/>
  <c r="BO40" i="8"/>
  <c r="BL7" i="8"/>
  <c r="BK89" i="8"/>
  <c r="BG34" i="8"/>
  <c r="BH60" i="8"/>
  <c r="BH9" i="8"/>
  <c r="BI16" i="8"/>
  <c r="BJ67" i="8"/>
  <c r="BP60" i="8"/>
  <c r="BO103" i="8"/>
  <c r="BG13" i="8"/>
  <c r="BI99" i="8"/>
  <c r="BI22" i="8"/>
  <c r="BH27" i="8"/>
  <c r="BK44" i="8"/>
  <c r="BJ38" i="8"/>
  <c r="AX83" i="8"/>
  <c r="BH83" i="8" s="1"/>
  <c r="BH28" i="8"/>
  <c r="BG28" i="8"/>
  <c r="BG64" i="8"/>
  <c r="BL67" i="8"/>
  <c r="BI37" i="8"/>
  <c r="BJ40" i="8"/>
  <c r="BI44" i="8"/>
  <c r="BL81" i="8"/>
  <c r="BI10" i="8"/>
  <c r="BK88" i="8"/>
  <c r="BI60" i="8"/>
  <c r="BP92" i="8"/>
  <c r="BK37" i="8"/>
  <c r="BJ59" i="8"/>
  <c r="BH94" i="8"/>
  <c r="AW98" i="8"/>
  <c r="BG98" i="8" s="1"/>
  <c r="BJ101" i="8"/>
  <c r="BH82" i="8"/>
  <c r="BN99" i="8"/>
  <c r="BK73" i="8"/>
  <c r="BH66" i="8"/>
  <c r="BP51" i="8"/>
  <c r="BI48" i="8"/>
  <c r="BG63" i="8"/>
  <c r="BK57" i="8"/>
  <c r="AW48" i="8"/>
  <c r="BG48" i="8" s="1"/>
  <c r="BI23" i="8"/>
  <c r="BK17" i="8"/>
  <c r="AW49" i="8"/>
  <c r="BG49" i="8" s="1"/>
  <c r="BG54" i="8"/>
  <c r="AX7" i="8"/>
  <c r="BM74" i="8"/>
  <c r="BI25" i="8"/>
  <c r="BK64" i="8"/>
  <c r="BG91" i="8"/>
  <c r="BN58" i="8"/>
  <c r="BG50" i="8"/>
  <c r="BG17" i="8"/>
  <c r="BG57" i="8"/>
  <c r="AZ88" i="8"/>
  <c r="BJ88" i="8" s="1"/>
  <c r="BG56" i="8"/>
  <c r="CK64" i="10"/>
  <c r="CJ64" i="10"/>
  <c r="CK58" i="10"/>
  <c r="CJ58" i="10"/>
  <c r="CK47" i="10"/>
  <c r="CJ47" i="10"/>
  <c r="CK36" i="10"/>
  <c r="CJ36" i="10"/>
  <c r="CK24" i="10"/>
  <c r="CJ24" i="10"/>
  <c r="CK51" i="10"/>
  <c r="CJ51" i="10"/>
  <c r="CK95" i="10"/>
  <c r="CJ95" i="10"/>
  <c r="CK28" i="10"/>
  <c r="CJ28" i="10"/>
  <c r="CK41" i="10"/>
  <c r="CJ41" i="10"/>
  <c r="CK19" i="10"/>
  <c r="CJ19" i="10"/>
  <c r="CK93" i="10"/>
  <c r="CJ93" i="10"/>
  <c r="CK94" i="10"/>
  <c r="CJ94" i="10"/>
  <c r="CK20" i="10"/>
  <c r="CJ20" i="10"/>
  <c r="CK14" i="10"/>
  <c r="CJ14" i="10"/>
  <c r="CK76" i="10"/>
  <c r="CJ76" i="10"/>
  <c r="CK82" i="10"/>
  <c r="CJ82" i="10"/>
  <c r="CK32" i="10"/>
  <c r="CJ32" i="10"/>
  <c r="CK65" i="10"/>
  <c r="CJ65" i="10"/>
  <c r="CK103" i="10"/>
  <c r="CJ103" i="10"/>
  <c r="CK34" i="10"/>
  <c r="CJ34" i="10"/>
  <c r="CK26" i="10"/>
  <c r="CJ26" i="10"/>
  <c r="CK72" i="10"/>
  <c r="CJ72" i="10"/>
  <c r="CK11" i="10"/>
  <c r="CJ11" i="10"/>
  <c r="CI55" i="10"/>
  <c r="CI62" i="10" s="1"/>
  <c r="CH55" i="10"/>
  <c r="CH62" i="10" s="1"/>
  <c r="CK91" i="10"/>
  <c r="CJ91" i="10"/>
  <c r="CK60" i="10"/>
  <c r="CJ60" i="10"/>
  <c r="CK75" i="10"/>
  <c r="CJ75" i="10"/>
  <c r="CK35" i="10"/>
  <c r="CJ35" i="10"/>
  <c r="CK71" i="10"/>
  <c r="CJ71" i="10"/>
  <c r="CK38" i="10"/>
  <c r="CJ38" i="10"/>
  <c r="CK99" i="10"/>
  <c r="CJ99" i="10"/>
  <c r="CK100" i="10"/>
  <c r="CJ100" i="10"/>
  <c r="CK42" i="10"/>
  <c r="CJ42" i="10"/>
  <c r="CK97" i="10"/>
  <c r="CJ97" i="10"/>
  <c r="CK56" i="10"/>
  <c r="CJ56" i="10"/>
  <c r="CK13" i="10"/>
  <c r="CJ13" i="10"/>
  <c r="CK50" i="10"/>
  <c r="CJ50" i="10"/>
  <c r="CK40" i="10"/>
  <c r="CJ40" i="10"/>
  <c r="CM8" i="10"/>
  <c r="CL8" i="10"/>
  <c r="CK92" i="10"/>
  <c r="CJ92" i="10"/>
  <c r="CK102" i="10"/>
  <c r="CJ102" i="10"/>
  <c r="CK81" i="10"/>
  <c r="CJ81" i="10"/>
  <c r="CK49" i="10"/>
  <c r="CJ49" i="10"/>
  <c r="CK31" i="10"/>
  <c r="CJ31" i="10"/>
  <c r="CK66" i="10"/>
  <c r="CJ66" i="10"/>
  <c r="CK29" i="10"/>
  <c r="CJ29" i="10"/>
  <c r="CK37" i="10"/>
  <c r="CJ37" i="10"/>
  <c r="CK74" i="10"/>
  <c r="CJ74" i="10"/>
  <c r="CK86" i="10"/>
  <c r="CJ86" i="10"/>
  <c r="CK23" i="10"/>
  <c r="CJ23" i="10"/>
  <c r="CK98" i="10"/>
  <c r="CJ98" i="10"/>
  <c r="CK68" i="10"/>
  <c r="CJ68" i="10"/>
  <c r="CK16" i="10"/>
  <c r="CJ16" i="10"/>
  <c r="CJ89" i="10"/>
  <c r="CK89" i="10"/>
  <c r="CK52" i="10"/>
  <c r="CJ52" i="10"/>
  <c r="CK73" i="10"/>
  <c r="CJ73" i="10"/>
  <c r="CK30" i="10"/>
  <c r="CJ30" i="10"/>
  <c r="CK39" i="10"/>
  <c r="CJ39" i="10"/>
  <c r="CK96" i="10"/>
  <c r="CJ96" i="10"/>
  <c r="CK53" i="10"/>
  <c r="CJ53" i="10"/>
  <c r="CK69" i="10"/>
  <c r="CJ69" i="10"/>
  <c r="CK67" i="10"/>
  <c r="CJ67" i="10"/>
  <c r="CK101" i="10"/>
  <c r="CJ101" i="10"/>
  <c r="CK15" i="10"/>
  <c r="CJ15" i="10"/>
  <c r="CK17" i="10"/>
  <c r="CJ17" i="10"/>
  <c r="CK46" i="10"/>
  <c r="CJ46" i="10"/>
  <c r="CK45" i="10"/>
  <c r="CJ45" i="10"/>
  <c r="CK25" i="10"/>
  <c r="CJ25" i="10"/>
  <c r="CK83" i="10"/>
  <c r="CJ83" i="10"/>
  <c r="CM80" i="10"/>
  <c r="CN80" i="10" s="1"/>
  <c r="CL80" i="10"/>
  <c r="CK33" i="10"/>
  <c r="CJ33" i="10"/>
  <c r="CK84" i="10"/>
  <c r="CJ84" i="10"/>
  <c r="CK12" i="10"/>
  <c r="CJ12" i="10"/>
  <c r="CK90" i="10"/>
  <c r="CJ90" i="10"/>
  <c r="CK104" i="10"/>
  <c r="CJ104" i="10"/>
  <c r="CK22" i="10"/>
  <c r="CJ22" i="10"/>
  <c r="CK61" i="10"/>
  <c r="CJ61" i="10"/>
  <c r="CK70" i="10"/>
  <c r="CJ70" i="10"/>
  <c r="CK9" i="10"/>
  <c r="CJ9" i="10"/>
  <c r="CK57" i="10"/>
  <c r="CJ57" i="10"/>
  <c r="CK54" i="10"/>
  <c r="CJ54" i="10"/>
  <c r="CK59" i="10"/>
  <c r="CJ59" i="10"/>
  <c r="CK48" i="10"/>
  <c r="CJ48" i="10"/>
  <c r="CK27" i="10"/>
  <c r="CJ27" i="10"/>
  <c r="CK21" i="10"/>
  <c r="CJ21" i="10"/>
  <c r="CK10" i="10"/>
  <c r="CJ10" i="10"/>
  <c r="CK18" i="10"/>
  <c r="CJ18" i="10"/>
  <c r="CK85" i="10"/>
  <c r="CJ85" i="10"/>
  <c r="CM79" i="10"/>
  <c r="CL79" i="10"/>
  <c r="BA100" i="8"/>
  <c r="BK100" i="8" s="1"/>
  <c r="BP52" i="8"/>
  <c r="BP103" i="8"/>
  <c r="AZ49" i="8"/>
  <c r="BJ49" i="8" s="1"/>
  <c r="BO101" i="8"/>
  <c r="BO50" i="8"/>
  <c r="BO59" i="8"/>
  <c r="AY102" i="8"/>
  <c r="BI102" i="8" s="1"/>
  <c r="AY47" i="8"/>
  <c r="BI47" i="8" s="1"/>
  <c r="AX85" i="8"/>
  <c r="BH85" i="8" s="1"/>
  <c r="AX58" i="8"/>
  <c r="BH58" i="8" s="1"/>
  <c r="AX98" i="8"/>
  <c r="BH98" i="8" s="1"/>
  <c r="BO7" i="8"/>
  <c r="AZ41" i="8"/>
  <c r="BJ41" i="8" s="1"/>
  <c r="AZ68" i="8"/>
  <c r="BJ68" i="8" s="1"/>
  <c r="AY7" i="8"/>
  <c r="AY40" i="8"/>
  <c r="BI40" i="8" s="1"/>
  <c r="BN74" i="8"/>
  <c r="AY19" i="8"/>
  <c r="BI19" i="8" s="1"/>
  <c r="AY36" i="8"/>
  <c r="BI36" i="8" s="1"/>
  <c r="AX19" i="8"/>
  <c r="BH19" i="8" s="1"/>
  <c r="BP37" i="8"/>
  <c r="BL21" i="8"/>
  <c r="AZ36" i="8"/>
  <c r="BJ36" i="8" s="1"/>
  <c r="BA34" i="8"/>
  <c r="BK34" i="8" s="1"/>
  <c r="AZ74" i="8"/>
  <c r="BJ74" i="8" s="1"/>
  <c r="AZ37" i="8"/>
  <c r="BJ37" i="8" s="1"/>
  <c r="AZ100" i="8"/>
  <c r="BJ100" i="8" s="1"/>
  <c r="AZ64" i="8"/>
  <c r="BJ64" i="8" s="1"/>
  <c r="BP48" i="8"/>
  <c r="BA98" i="8"/>
  <c r="BK98" i="8" s="1"/>
  <c r="AY30" i="8"/>
  <c r="BI30" i="8" s="1"/>
  <c r="BM71" i="8"/>
  <c r="BM84" i="8"/>
  <c r="AY63" i="8"/>
  <c r="BL34" i="8"/>
  <c r="BN39" i="8"/>
  <c r="BO60" i="8"/>
  <c r="AY75" i="8"/>
  <c r="BI75" i="8" s="1"/>
  <c r="AZ44" i="8"/>
  <c r="BN82" i="8"/>
  <c r="BP21" i="8"/>
  <c r="AZ81" i="8"/>
  <c r="BJ81" i="8" s="1"/>
  <c r="BM35" i="8"/>
  <c r="AY83" i="8"/>
  <c r="BI83" i="8" s="1"/>
  <c r="AW68" i="8"/>
  <c r="BG68" i="8" s="1"/>
  <c r="BM92" i="8"/>
  <c r="BN59" i="8"/>
  <c r="BM56" i="8"/>
  <c r="BO75" i="8"/>
  <c r="BO76" i="8" s="1"/>
  <c r="AZ20" i="8"/>
  <c r="BJ20" i="8" s="1"/>
  <c r="AX102" i="8"/>
  <c r="BH102" i="8" s="1"/>
  <c r="BM33" i="8"/>
  <c r="AX99" i="8"/>
  <c r="BH99" i="8" s="1"/>
  <c r="AX11" i="8"/>
  <c r="BH11" i="8" s="1"/>
  <c r="AW88" i="8"/>
  <c r="BG88" i="8" s="1"/>
  <c r="BQ83" i="8"/>
  <c r="CJ87" i="10" l="1"/>
  <c r="CK87" i="10"/>
  <c r="CN79" i="10"/>
  <c r="DF64" i="10"/>
  <c r="DE77" i="10"/>
  <c r="CI106" i="10"/>
  <c r="CJ105" i="10"/>
  <c r="CH106" i="10"/>
  <c r="CK77" i="10"/>
  <c r="DF45" i="10"/>
  <c r="DE62" i="10"/>
  <c r="CK105" i="10"/>
  <c r="DF89" i="10"/>
  <c r="DE105" i="10"/>
  <c r="DF79" i="10"/>
  <c r="DE87" i="10"/>
  <c r="CJ62" i="10"/>
  <c r="CJ77" i="10"/>
  <c r="DD106" i="10"/>
  <c r="CK43" i="10"/>
  <c r="CJ43" i="10"/>
  <c r="CJ106" i="10" s="1"/>
  <c r="CN8" i="10"/>
  <c r="DF8" i="10"/>
  <c r="DE43" i="10"/>
  <c r="BH63" i="8"/>
  <c r="BN76" i="8"/>
  <c r="AZ76" i="8"/>
  <c r="BI63" i="8"/>
  <c r="BI76" i="8" s="1"/>
  <c r="AY76" i="8"/>
  <c r="BJ76" i="8"/>
  <c r="BK76" i="8"/>
  <c r="BL76" i="8"/>
  <c r="BH76" i="8"/>
  <c r="BG76" i="8"/>
  <c r="AW76" i="8"/>
  <c r="BJ44" i="8"/>
  <c r="BI7" i="8"/>
  <c r="BH7" i="8"/>
  <c r="CM10" i="10"/>
  <c r="CN10" i="10" s="1"/>
  <c r="CL10" i="10"/>
  <c r="CM59" i="10"/>
  <c r="CN59" i="10" s="1"/>
  <c r="CL59" i="10"/>
  <c r="CM57" i="10"/>
  <c r="CN57" i="10" s="1"/>
  <c r="CL57" i="10"/>
  <c r="CM22" i="10"/>
  <c r="CN22" i="10" s="1"/>
  <c r="CL22" i="10"/>
  <c r="CM90" i="10"/>
  <c r="CN90" i="10" s="1"/>
  <c r="CL90" i="10"/>
  <c r="CM84" i="10"/>
  <c r="CN84" i="10" s="1"/>
  <c r="CL84" i="10"/>
  <c r="CM25" i="10"/>
  <c r="CN25" i="10" s="1"/>
  <c r="CL25" i="10"/>
  <c r="CM46" i="10"/>
  <c r="CN46" i="10" s="1"/>
  <c r="CL46" i="10"/>
  <c r="CM15" i="10"/>
  <c r="CN15" i="10" s="1"/>
  <c r="CL15" i="10"/>
  <c r="CM53" i="10"/>
  <c r="CN53" i="10" s="1"/>
  <c r="CL53" i="10"/>
  <c r="CM73" i="10"/>
  <c r="CN73" i="10" s="1"/>
  <c r="CL73" i="10"/>
  <c r="CM23" i="10"/>
  <c r="CN23" i="10" s="1"/>
  <c r="CL23" i="10"/>
  <c r="CM31" i="10"/>
  <c r="CN31" i="10" s="1"/>
  <c r="CL31" i="10"/>
  <c r="CM92" i="10"/>
  <c r="CN92" i="10" s="1"/>
  <c r="CL92" i="10"/>
  <c r="CM13" i="10"/>
  <c r="CN13" i="10" s="1"/>
  <c r="CL13" i="10"/>
  <c r="CM100" i="10"/>
  <c r="CN100" i="10" s="1"/>
  <c r="CL100" i="10"/>
  <c r="CM35" i="10"/>
  <c r="CN35" i="10" s="1"/>
  <c r="CL35" i="10"/>
  <c r="CM60" i="10"/>
  <c r="CN60" i="10" s="1"/>
  <c r="CL60" i="10"/>
  <c r="CM72" i="10"/>
  <c r="CN72" i="10" s="1"/>
  <c r="CL72" i="10"/>
  <c r="CM65" i="10"/>
  <c r="CN65" i="10" s="1"/>
  <c r="CL65" i="10"/>
  <c r="CM82" i="10"/>
  <c r="CN82" i="10" s="1"/>
  <c r="CL82" i="10"/>
  <c r="CM94" i="10"/>
  <c r="CN94" i="10" s="1"/>
  <c r="CL94" i="10"/>
  <c r="CM19" i="10"/>
  <c r="CN19" i="10" s="1"/>
  <c r="CL19" i="10"/>
  <c r="CM28" i="10"/>
  <c r="CN28" i="10" s="1"/>
  <c r="CL28" i="10"/>
  <c r="CM58" i="10"/>
  <c r="CN58" i="10" s="1"/>
  <c r="CL58" i="10"/>
  <c r="CM18" i="10"/>
  <c r="CN18" i="10" s="1"/>
  <c r="CL18" i="10"/>
  <c r="CM21" i="10"/>
  <c r="CN21" i="10" s="1"/>
  <c r="CL21" i="10"/>
  <c r="CM48" i="10"/>
  <c r="CN48" i="10" s="1"/>
  <c r="CL48" i="10"/>
  <c r="CM54" i="10"/>
  <c r="CN54" i="10" s="1"/>
  <c r="CL54" i="10"/>
  <c r="CM9" i="10"/>
  <c r="CN9" i="10" s="1"/>
  <c r="CL9" i="10"/>
  <c r="CM61" i="10"/>
  <c r="CN61" i="10" s="1"/>
  <c r="CL61" i="10"/>
  <c r="CM104" i="10"/>
  <c r="CN104" i="10" s="1"/>
  <c r="CL104" i="10"/>
  <c r="CM12" i="10"/>
  <c r="CN12" i="10" s="1"/>
  <c r="CL12" i="10"/>
  <c r="CM33" i="10"/>
  <c r="CN33" i="10" s="1"/>
  <c r="CL33" i="10"/>
  <c r="CM83" i="10"/>
  <c r="CN83" i="10" s="1"/>
  <c r="CL83" i="10"/>
  <c r="CM45" i="10"/>
  <c r="CL45" i="10"/>
  <c r="CM17" i="10"/>
  <c r="CN17" i="10" s="1"/>
  <c r="CL17" i="10"/>
  <c r="CM101" i="10"/>
  <c r="CN101" i="10" s="1"/>
  <c r="CL101" i="10"/>
  <c r="CM69" i="10"/>
  <c r="CN69" i="10" s="1"/>
  <c r="CL69" i="10"/>
  <c r="CM96" i="10"/>
  <c r="CN96" i="10" s="1"/>
  <c r="CL96" i="10"/>
  <c r="CM30" i="10"/>
  <c r="CN30" i="10" s="1"/>
  <c r="CL30" i="10"/>
  <c r="CM52" i="10"/>
  <c r="CN52" i="10" s="1"/>
  <c r="CL52" i="10"/>
  <c r="CM16" i="10"/>
  <c r="CN16" i="10" s="1"/>
  <c r="CL16" i="10"/>
  <c r="CM98" i="10"/>
  <c r="CN98" i="10" s="1"/>
  <c r="CL98" i="10"/>
  <c r="CM86" i="10"/>
  <c r="CN86" i="10" s="1"/>
  <c r="CL86" i="10"/>
  <c r="CM37" i="10"/>
  <c r="CN37" i="10" s="1"/>
  <c r="CL37" i="10"/>
  <c r="CM66" i="10"/>
  <c r="CN66" i="10" s="1"/>
  <c r="CL66" i="10"/>
  <c r="CM49" i="10"/>
  <c r="CN49" i="10" s="1"/>
  <c r="CL49" i="10"/>
  <c r="CM102" i="10"/>
  <c r="CN102" i="10" s="1"/>
  <c r="CL102" i="10"/>
  <c r="CM50" i="10"/>
  <c r="CN50" i="10" s="1"/>
  <c r="CL50" i="10"/>
  <c r="CM56" i="10"/>
  <c r="CN56" i="10" s="1"/>
  <c r="CL56" i="10"/>
  <c r="CM42" i="10"/>
  <c r="CN42" i="10" s="1"/>
  <c r="CL42" i="10"/>
  <c r="CM99" i="10"/>
  <c r="CN99" i="10" s="1"/>
  <c r="CL99" i="10"/>
  <c r="CM71" i="10"/>
  <c r="CN71" i="10" s="1"/>
  <c r="CL71" i="10"/>
  <c r="CM75" i="10"/>
  <c r="CN75" i="10" s="1"/>
  <c r="CL75" i="10"/>
  <c r="CM91" i="10"/>
  <c r="CN91" i="10" s="1"/>
  <c r="CL91" i="10"/>
  <c r="CM11" i="10"/>
  <c r="CN11" i="10" s="1"/>
  <c r="CL11" i="10"/>
  <c r="CM26" i="10"/>
  <c r="CN26" i="10" s="1"/>
  <c r="CL26" i="10"/>
  <c r="CM103" i="10"/>
  <c r="CN103" i="10" s="1"/>
  <c r="CL103" i="10"/>
  <c r="CM32" i="10"/>
  <c r="CN32" i="10" s="1"/>
  <c r="CL32" i="10"/>
  <c r="CM76" i="10"/>
  <c r="CN76" i="10" s="1"/>
  <c r="CL76" i="10"/>
  <c r="CM20" i="10"/>
  <c r="CN20" i="10" s="1"/>
  <c r="CL20" i="10"/>
  <c r="CM93" i="10"/>
  <c r="CN93" i="10" s="1"/>
  <c r="CL93" i="10"/>
  <c r="CM41" i="10"/>
  <c r="CN41" i="10" s="1"/>
  <c r="CL41" i="10"/>
  <c r="CM95" i="10"/>
  <c r="CN95" i="10" s="1"/>
  <c r="CL95" i="10"/>
  <c r="CM24" i="10"/>
  <c r="CN24" i="10" s="1"/>
  <c r="CL24" i="10"/>
  <c r="CM47" i="10"/>
  <c r="CN47" i="10" s="1"/>
  <c r="CL47" i="10"/>
  <c r="CM64" i="10"/>
  <c r="CL64" i="10"/>
  <c r="CM85" i="10"/>
  <c r="CN85" i="10" s="1"/>
  <c r="CL85" i="10"/>
  <c r="CM27" i="10"/>
  <c r="CN27" i="10" s="1"/>
  <c r="CL27" i="10"/>
  <c r="CM70" i="10"/>
  <c r="CN70" i="10" s="1"/>
  <c r="CL70" i="10"/>
  <c r="CM67" i="10"/>
  <c r="CN67" i="10" s="1"/>
  <c r="CL67" i="10"/>
  <c r="CM39" i="10"/>
  <c r="CN39" i="10" s="1"/>
  <c r="CL39" i="10"/>
  <c r="CM68" i="10"/>
  <c r="CN68" i="10" s="1"/>
  <c r="CL68" i="10"/>
  <c r="CM74" i="10"/>
  <c r="CN74" i="10" s="1"/>
  <c r="CL74" i="10"/>
  <c r="CM29" i="10"/>
  <c r="CN29" i="10" s="1"/>
  <c r="CL29" i="10"/>
  <c r="CM81" i="10"/>
  <c r="CN81" i="10" s="1"/>
  <c r="CL81" i="10"/>
  <c r="CL87" i="10" s="1"/>
  <c r="CM40" i="10"/>
  <c r="CN40" i="10" s="1"/>
  <c r="CL40" i="10"/>
  <c r="CM97" i="10"/>
  <c r="CN97" i="10" s="1"/>
  <c r="CL97" i="10"/>
  <c r="CM38" i="10"/>
  <c r="CN38" i="10" s="1"/>
  <c r="CL38" i="10"/>
  <c r="CK55" i="10"/>
  <c r="CK62" i="10" s="1"/>
  <c r="CJ55" i="10"/>
  <c r="CM34" i="10"/>
  <c r="CN34" i="10" s="1"/>
  <c r="CL34" i="10"/>
  <c r="CM14" i="10"/>
  <c r="CN14" i="10" s="1"/>
  <c r="CL14" i="10"/>
  <c r="CM51" i="10"/>
  <c r="CN51" i="10" s="1"/>
  <c r="CL51" i="10"/>
  <c r="CM36" i="10"/>
  <c r="CN36" i="10" s="1"/>
  <c r="CL36" i="10"/>
  <c r="CM89" i="10"/>
  <c r="CL89" i="10"/>
  <c r="K79" i="8"/>
  <c r="DJ33" i="10" s="1"/>
  <c r="H78" i="8"/>
  <c r="K78" i="8"/>
  <c r="CL105" i="10" l="1"/>
  <c r="CL77" i="10"/>
  <c r="DG79" i="10"/>
  <c r="DG87" i="10" s="1"/>
  <c r="DF87" i="10"/>
  <c r="DG64" i="10"/>
  <c r="DG77" i="10" s="1"/>
  <c r="DF77" i="10"/>
  <c r="CN89" i="10"/>
  <c r="CN105" i="10" s="1"/>
  <c r="CM105" i="10"/>
  <c r="CN64" i="10"/>
  <c r="CN77" i="10" s="1"/>
  <c r="CM77" i="10"/>
  <c r="CN45" i="10"/>
  <c r="DG45" i="10"/>
  <c r="DG62" i="10" s="1"/>
  <c r="DF62" i="10"/>
  <c r="CM87" i="10"/>
  <c r="DE106" i="10"/>
  <c r="CK106" i="10"/>
  <c r="DG89" i="10"/>
  <c r="DG105" i="10" s="1"/>
  <c r="DF105" i="10"/>
  <c r="CN87" i="10"/>
  <c r="CL43" i="10"/>
  <c r="DG8" i="10"/>
  <c r="DG43" i="10" s="1"/>
  <c r="DF43" i="10"/>
  <c r="DF106" i="10" s="1"/>
  <c r="CM43" i="10"/>
  <c r="CN43" i="10"/>
  <c r="DJ79" i="10"/>
  <c r="DJ32" i="10"/>
  <c r="AI79" i="8"/>
  <c r="AK79" i="8"/>
  <c r="AJ79" i="8"/>
  <c r="DJ80" i="10"/>
  <c r="AJ78" i="8"/>
  <c r="AJ86" i="8" s="1"/>
  <c r="AK78" i="8"/>
  <c r="AK86" i="8" s="1"/>
  <c r="AI78" i="8"/>
  <c r="AI86" i="8" s="1"/>
  <c r="CM55" i="10"/>
  <c r="CN55" i="10" s="1"/>
  <c r="CL55" i="10"/>
  <c r="CL62" i="10" s="1"/>
  <c r="AL78" i="8"/>
  <c r="AH78" i="8"/>
  <c r="I78" i="8"/>
  <c r="J79" i="8"/>
  <c r="AH79" i="8"/>
  <c r="AL79" i="8"/>
  <c r="M78" i="8"/>
  <c r="J78" i="8"/>
  <c r="M79" i="8"/>
  <c r="BR36" i="8"/>
  <c r="BQ36" i="8"/>
  <c r="BQ68" i="8"/>
  <c r="CN62" i="10" l="1"/>
  <c r="CN106" i="10" s="1"/>
  <c r="DG106" i="10"/>
  <c r="CL106" i="10"/>
  <c r="CM62" i="10"/>
  <c r="CM106" i="10" s="1"/>
  <c r="AH86" i="8"/>
  <c r="AL86" i="8"/>
  <c r="Z78" i="8"/>
  <c r="AA78" i="8"/>
  <c r="W78" i="8"/>
  <c r="S78" i="8"/>
  <c r="S86" i="8" s="1"/>
  <c r="Y78" i="8"/>
  <c r="V78" i="8"/>
  <c r="T78" i="8"/>
  <c r="T86" i="8" s="1"/>
  <c r="Q78" i="8"/>
  <c r="AB78" i="8"/>
  <c r="O78" i="8"/>
  <c r="X78" i="8"/>
  <c r="U78" i="8"/>
  <c r="U86" i="8" s="1"/>
  <c r="P78" i="8"/>
  <c r="AA79" i="8"/>
  <c r="Y79" i="8"/>
  <c r="X79" i="8"/>
  <c r="AB79" i="8"/>
  <c r="U79" i="8"/>
  <c r="Z79" i="8"/>
  <c r="W79" i="8"/>
  <c r="S79" i="8"/>
  <c r="Q79" i="8"/>
  <c r="V79" i="8"/>
  <c r="O79" i="8"/>
  <c r="BC79" i="8" s="1"/>
  <c r="P79" i="8"/>
  <c r="T79" i="8"/>
  <c r="L79" i="8"/>
  <c r="R79" i="8"/>
  <c r="BD79" i="8"/>
  <c r="N79" i="8"/>
  <c r="L78" i="8"/>
  <c r="N78" i="8"/>
  <c r="N86" i="8" s="1"/>
  <c r="BD78" i="8"/>
  <c r="BD86" i="8" s="1"/>
  <c r="R78" i="8"/>
  <c r="BQ14" i="8"/>
  <c r="BR34" i="8"/>
  <c r="BQ34" i="8"/>
  <c r="BQ19" i="8"/>
  <c r="BQ30" i="8"/>
  <c r="BE78" i="8" l="1"/>
  <c r="Q86" i="8"/>
  <c r="R86" i="8"/>
  <c r="O86" i="8"/>
  <c r="V86" i="8"/>
  <c r="AA86" i="8"/>
  <c r="P86" i="8"/>
  <c r="AB86" i="8"/>
  <c r="Y86" i="8"/>
  <c r="Z86" i="8"/>
  <c r="X86" i="8"/>
  <c r="W86" i="8"/>
  <c r="AF79" i="8"/>
  <c r="AD78" i="8"/>
  <c r="BC78" i="8"/>
  <c r="BC86" i="8" s="1"/>
  <c r="BF79" i="8"/>
  <c r="AG79" i="8"/>
  <c r="AD79" i="8"/>
  <c r="AF78" i="8"/>
  <c r="BB78" i="8"/>
  <c r="AC78" i="8"/>
  <c r="AC86" i="8" s="1"/>
  <c r="BB79" i="8"/>
  <c r="AC79" i="8"/>
  <c r="BF78" i="8"/>
  <c r="BF86" i="8" s="1"/>
  <c r="AG78" i="8"/>
  <c r="AG86" i="8" s="1"/>
  <c r="BE79" i="8"/>
  <c r="AE79" i="8"/>
  <c r="AE78" i="8"/>
  <c r="AE86" i="8" s="1"/>
  <c r="AV79" i="8"/>
  <c r="BA79" i="8" s="1"/>
  <c r="BK79" i="8" s="1"/>
  <c r="AS79" i="8"/>
  <c r="AX79" i="8" s="1"/>
  <c r="BH79" i="8" s="1"/>
  <c r="AT78" i="8"/>
  <c r="AR79" i="8"/>
  <c r="AW79" i="8" s="1"/>
  <c r="AR78" i="8"/>
  <c r="AT79" i="8"/>
  <c r="AY79" i="8" s="1"/>
  <c r="AU78" i="8"/>
  <c r="AS78" i="8"/>
  <c r="AV78" i="8"/>
  <c r="AU79" i="8"/>
  <c r="AZ79" i="8" s="1"/>
  <c r="BR47" i="8"/>
  <c r="BQ47" i="8"/>
  <c r="BQ31" i="8"/>
  <c r="BR32" i="8"/>
  <c r="BQ32" i="8"/>
  <c r="BQ20" i="8"/>
  <c r="BR48" i="8"/>
  <c r="BQ50" i="8"/>
  <c r="BR50" i="8"/>
  <c r="BQ51" i="8"/>
  <c r="BR51" i="8"/>
  <c r="BQ44" i="8"/>
  <c r="BR44" i="8"/>
  <c r="BR80" i="8"/>
  <c r="BQ80" i="8"/>
  <c r="BR46" i="8"/>
  <c r="BQ46" i="8"/>
  <c r="AD86" i="8" l="1"/>
  <c r="BP78" i="8"/>
  <c r="BP86" i="8" s="1"/>
  <c r="AV86" i="8"/>
  <c r="BM78" i="8"/>
  <c r="AS86" i="8"/>
  <c r="BB86" i="8"/>
  <c r="BO78" i="8"/>
  <c r="AU86" i="8"/>
  <c r="AY78" i="8"/>
  <c r="AY86" i="8" s="1"/>
  <c r="AT86" i="8"/>
  <c r="AF86" i="8"/>
  <c r="AW78" i="8"/>
  <c r="AR86" i="8"/>
  <c r="BE86" i="8"/>
  <c r="BG79" i="8"/>
  <c r="BJ79" i="8"/>
  <c r="BI79" i="8"/>
  <c r="BI78" i="8"/>
  <c r="BI86" i="8" s="1"/>
  <c r="BL78" i="8"/>
  <c r="BM79" i="8"/>
  <c r="BA78" i="8"/>
  <c r="BL79" i="8"/>
  <c r="BN78" i="8"/>
  <c r="BP79" i="8"/>
  <c r="BO79" i="8"/>
  <c r="AZ78" i="8"/>
  <c r="BN79" i="8"/>
  <c r="AX78" i="8"/>
  <c r="M45" i="8"/>
  <c r="J45" i="8"/>
  <c r="BJ78" i="8" l="1"/>
  <c r="BJ86" i="8" s="1"/>
  <c r="AZ86" i="8"/>
  <c r="BH78" i="8"/>
  <c r="BH86" i="8" s="1"/>
  <c r="AX86" i="8"/>
  <c r="BK78" i="8"/>
  <c r="BK86" i="8" s="1"/>
  <c r="BA86" i="8"/>
  <c r="BG78" i="8"/>
  <c r="BG86" i="8" s="1"/>
  <c r="AW86" i="8"/>
  <c r="BM86" i="8"/>
  <c r="BN86" i="8"/>
  <c r="BL86" i="8"/>
  <c r="BO86" i="8"/>
  <c r="AA45" i="8"/>
  <c r="AA61" i="8" s="1"/>
  <c r="Y45" i="8"/>
  <c r="Y61" i="8" s="1"/>
  <c r="AB45" i="8"/>
  <c r="AB61" i="8" s="1"/>
  <c r="U45" i="8"/>
  <c r="U61" i="8" s="1"/>
  <c r="Z45" i="8"/>
  <c r="Z61" i="8" s="1"/>
  <c r="T45" i="8"/>
  <c r="T61" i="8" s="1"/>
  <c r="V45" i="8"/>
  <c r="V61" i="8" s="1"/>
  <c r="Q45" i="8"/>
  <c r="X45" i="8"/>
  <c r="X61" i="8" s="1"/>
  <c r="S45" i="8"/>
  <c r="S61" i="8" s="1"/>
  <c r="P45" i="8"/>
  <c r="O45" i="8"/>
  <c r="W45" i="8"/>
  <c r="W61" i="8" s="1"/>
  <c r="L45" i="8"/>
  <c r="AU45" i="8"/>
  <c r="R45" i="8"/>
  <c r="R61" i="8" s="1"/>
  <c r="N45" i="8"/>
  <c r="N61" i="8" s="1"/>
  <c r="M15" i="8"/>
  <c r="J15" i="8"/>
  <c r="BC45" i="8" l="1"/>
  <c r="BC61" i="8" s="1"/>
  <c r="O61" i="8"/>
  <c r="BE45" i="8"/>
  <c r="BE61" i="8" s="1"/>
  <c r="Q61" i="8"/>
  <c r="AZ45" i="8"/>
  <c r="AZ61" i="8" s="1"/>
  <c r="AU61" i="8"/>
  <c r="BD45" i="8"/>
  <c r="BD61" i="8" s="1"/>
  <c r="P61" i="8"/>
  <c r="AD45" i="8"/>
  <c r="AD61" i="8" s="1"/>
  <c r="AF45" i="8"/>
  <c r="BB45" i="8"/>
  <c r="BB61" i="8" s="1"/>
  <c r="AC45" i="8"/>
  <c r="AC61" i="8" s="1"/>
  <c r="AE45" i="8"/>
  <c r="AE61" i="8" s="1"/>
  <c r="BF45" i="8"/>
  <c r="BF61" i="8" s="1"/>
  <c r="AG45" i="8"/>
  <c r="AG61" i="8" s="1"/>
  <c r="AA15" i="8"/>
  <c r="AA42" i="8" s="1"/>
  <c r="X15" i="8"/>
  <c r="X42" i="8" s="1"/>
  <c r="Z15" i="8"/>
  <c r="Z42" i="8" s="1"/>
  <c r="U15" i="8"/>
  <c r="U42" i="8" s="1"/>
  <c r="T15" i="8"/>
  <c r="T42" i="8" s="1"/>
  <c r="V15" i="8"/>
  <c r="S15" i="8"/>
  <c r="S42" i="8" s="1"/>
  <c r="Q15" i="8"/>
  <c r="AB15" i="8"/>
  <c r="AB42" i="8" s="1"/>
  <c r="P15" i="8"/>
  <c r="P42" i="8" s="1"/>
  <c r="W15" i="8"/>
  <c r="W42" i="8" s="1"/>
  <c r="O15" i="8"/>
  <c r="Y15" i="8"/>
  <c r="Y42" i="8" s="1"/>
  <c r="AS45" i="8"/>
  <c r="AR45" i="8"/>
  <c r="AT45" i="8"/>
  <c r="BO45" i="8"/>
  <c r="BO61" i="8" s="1"/>
  <c r="L15" i="8"/>
  <c r="AV45" i="8"/>
  <c r="N15" i="8"/>
  <c r="N42" i="8" s="1"/>
  <c r="R15" i="8"/>
  <c r="R42" i="8" s="1"/>
  <c r="BJ45" i="8" l="1"/>
  <c r="BJ61" i="8" s="1"/>
  <c r="AF61" i="8"/>
  <c r="BN45" i="8"/>
  <c r="BN61" i="8" s="1"/>
  <c r="AT61" i="8"/>
  <c r="BP45" i="8"/>
  <c r="BP61" i="8" s="1"/>
  <c r="AV61" i="8"/>
  <c r="AW45" i="8"/>
  <c r="AW61" i="8" s="1"/>
  <c r="AR61" i="8"/>
  <c r="AX45" i="8"/>
  <c r="AX61" i="8" s="1"/>
  <c r="AS61" i="8"/>
  <c r="BC15" i="8"/>
  <c r="O42" i="8"/>
  <c r="BE15" i="8"/>
  <c r="Q42" i="8"/>
  <c r="AU15" i="8"/>
  <c r="BO15" i="8" s="1"/>
  <c r="V42" i="8"/>
  <c r="AD15" i="8"/>
  <c r="AD42" i="8" s="1"/>
  <c r="AE15" i="8"/>
  <c r="AE42" i="8" s="1"/>
  <c r="BD15" i="8"/>
  <c r="AF15" i="8"/>
  <c r="BB15" i="8"/>
  <c r="AC15" i="8"/>
  <c r="AC42" i="8" s="1"/>
  <c r="BF15" i="8"/>
  <c r="AG15" i="8"/>
  <c r="AG42" i="8" s="1"/>
  <c r="AY45" i="8"/>
  <c r="BM45" i="8"/>
  <c r="BM61" i="8" s="1"/>
  <c r="AS15" i="8"/>
  <c r="BA45" i="8"/>
  <c r="BL45" i="8"/>
  <c r="BL61" i="8" s="1"/>
  <c r="AV15" i="8"/>
  <c r="AT15" i="8"/>
  <c r="AR15" i="8"/>
  <c r="BH45" i="8" l="1"/>
  <c r="BH61" i="8" s="1"/>
  <c r="BK45" i="8"/>
  <c r="BK61" i="8" s="1"/>
  <c r="BA61" i="8"/>
  <c r="BG45" i="8"/>
  <c r="BG61" i="8" s="1"/>
  <c r="BI45" i="8"/>
  <c r="BI61" i="8" s="1"/>
  <c r="AY61" i="8"/>
  <c r="AY15" i="8"/>
  <c r="AY42" i="8" s="1"/>
  <c r="AT42" i="8"/>
  <c r="BM15" i="8"/>
  <c r="BM42" i="8" s="1"/>
  <c r="AS42" i="8"/>
  <c r="AF42" i="8"/>
  <c r="BP15" i="8"/>
  <c r="AV42" i="8"/>
  <c r="BF42" i="8"/>
  <c r="BD42" i="8"/>
  <c r="BE42" i="8"/>
  <c r="BL15" i="8"/>
  <c r="BL42" i="8" s="1"/>
  <c r="AR42" i="8"/>
  <c r="BO42" i="8"/>
  <c r="BB42" i="8"/>
  <c r="AZ15" i="8"/>
  <c r="AZ42" i="8" s="1"/>
  <c r="AU42" i="8"/>
  <c r="BC42" i="8"/>
  <c r="BA15" i="8"/>
  <c r="AW15" i="8"/>
  <c r="BN15" i="8"/>
  <c r="AX15" i="8"/>
  <c r="BI15" i="8" l="1"/>
  <c r="BI42" i="8" s="1"/>
  <c r="BG15" i="8"/>
  <c r="AW42" i="8"/>
  <c r="BP42" i="8"/>
  <c r="BH15" i="8"/>
  <c r="AX42" i="8"/>
  <c r="BK15" i="8"/>
  <c r="BA42" i="8"/>
  <c r="BN42" i="8"/>
  <c r="BJ15" i="8"/>
  <c r="BK42" i="8" l="1"/>
  <c r="BJ42" i="8"/>
  <c r="BH42" i="8"/>
  <c r="BG42" i="8"/>
</calcChain>
</file>

<file path=xl/comments1.xml><?xml version="1.0" encoding="utf-8"?>
<comments xmlns="http://schemas.openxmlformats.org/spreadsheetml/2006/main">
  <authors>
    <author>Juris</author>
  </authors>
  <commentList>
    <comment ref="BQ41" authorId="0">
      <text>
        <r>
          <rPr>
            <b/>
            <sz val="9"/>
            <color indexed="81"/>
            <rFont val="Tahoma"/>
            <family val="2"/>
            <charset val="186"/>
          </rPr>
          <t>Juris:</t>
        </r>
        <r>
          <rPr>
            <sz val="9"/>
            <color indexed="81"/>
            <rFont val="Tahoma"/>
            <family val="2"/>
            <charset val="186"/>
          </rPr>
          <t xml:space="preserve">
t.sk. NAI jaudas paplašināšana par 50%, lai varētu attīrīt visus ienākušos notekūdeņus.</t>
        </r>
      </text>
    </comment>
    <comment ref="C101" authorId="0">
      <text>
        <r>
          <rPr>
            <b/>
            <sz val="9"/>
            <color indexed="81"/>
            <rFont val="Tahoma"/>
            <family val="2"/>
            <charset val="186"/>
          </rPr>
          <t>Juris:</t>
        </r>
        <r>
          <rPr>
            <sz val="9"/>
            <color indexed="81"/>
            <rFont val="Tahoma"/>
            <family val="2"/>
            <charset val="186"/>
          </rPr>
          <t xml:space="preserve">
Nav NAI vispār.
TEP aktualizācijā pieņemta ietaupījuma izlietošana, tomēr ir zināms, ka tas nav noticis. Sniegta situācija bez ietaupījuma realizācijas.</t>
        </r>
      </text>
    </comment>
  </commentList>
</comments>
</file>

<file path=xl/comments2.xml><?xml version="1.0" encoding="utf-8"?>
<comments xmlns="http://schemas.openxmlformats.org/spreadsheetml/2006/main">
  <authors>
    <author>Juris</author>
  </authors>
  <commentList>
    <comment ref="C29" authorId="0">
      <text>
        <r>
          <rPr>
            <b/>
            <sz val="9"/>
            <color indexed="81"/>
            <rFont val="Tahoma"/>
            <family val="2"/>
            <charset val="186"/>
          </rPr>
          <t>Juris:</t>
        </r>
        <r>
          <rPr>
            <sz val="9"/>
            <color indexed="81"/>
            <rFont val="Tahoma"/>
            <family val="2"/>
            <charset val="186"/>
          </rPr>
          <t xml:space="preserve">
Vajadzīgs 2011.g. TEPs</t>
        </r>
      </text>
    </comment>
    <comment ref="BV42" authorId="0">
      <text>
        <r>
          <rPr>
            <b/>
            <sz val="9"/>
            <color indexed="81"/>
            <rFont val="Tahoma"/>
            <family val="2"/>
            <charset val="186"/>
          </rPr>
          <t>Juris:</t>
        </r>
        <r>
          <rPr>
            <sz val="9"/>
            <color indexed="81"/>
            <rFont val="Tahoma"/>
            <family val="2"/>
            <charset val="186"/>
          </rPr>
          <t xml:space="preserve">
t.sk. NAI jaudas paplašināšana par 50%, lai varētu attīrīt visus ienākušos notekūdeņus.</t>
        </r>
      </text>
    </comment>
    <comment ref="C65" authorId="0">
      <text>
        <r>
          <rPr>
            <b/>
            <sz val="9"/>
            <color indexed="81"/>
            <rFont val="Tahoma"/>
            <family val="2"/>
            <charset val="186"/>
          </rPr>
          <t>Juris:</t>
        </r>
        <r>
          <rPr>
            <sz val="9"/>
            <color indexed="81"/>
            <rFont val="Tahoma"/>
            <family val="2"/>
            <charset val="186"/>
          </rPr>
          <t xml:space="preserve">
Vajadzīgs TEPs nevis aktualizācija</t>
        </r>
      </text>
    </comment>
    <comment ref="C66" authorId="0">
      <text>
        <r>
          <rPr>
            <b/>
            <sz val="9"/>
            <color indexed="81"/>
            <rFont val="Tahoma"/>
            <family val="2"/>
            <charset val="186"/>
          </rPr>
          <t>Juris:</t>
        </r>
        <r>
          <rPr>
            <sz val="9"/>
            <color indexed="81"/>
            <rFont val="Tahoma"/>
            <family val="2"/>
            <charset val="186"/>
          </rPr>
          <t xml:space="preserve">
Ir iedots aglomerācijas ziņojums, ko ir izstrādājusi Olaine un kas ir pilns ar labojumiem. Vai tas ir jāņem spēkā?</t>
        </r>
      </text>
    </comment>
    <comment ref="C79" authorId="0">
      <text>
        <r>
          <rPr>
            <b/>
            <sz val="9"/>
            <color indexed="81"/>
            <rFont val="Tahoma"/>
            <family val="2"/>
            <charset val="186"/>
          </rPr>
          <t>Juris:</t>
        </r>
        <r>
          <rPr>
            <sz val="9"/>
            <color indexed="81"/>
            <rFont val="Tahoma"/>
            <family val="2"/>
            <charset val="186"/>
          </rPr>
          <t xml:space="preserve">
Ilgtermiņš jāņem no 2002.g. TEP</t>
        </r>
      </text>
    </comment>
    <comment ref="C102" authorId="0">
      <text>
        <r>
          <rPr>
            <b/>
            <sz val="9"/>
            <color indexed="81"/>
            <rFont val="Tahoma"/>
            <family val="2"/>
            <charset val="186"/>
          </rPr>
          <t>Juris:</t>
        </r>
        <r>
          <rPr>
            <sz val="9"/>
            <color indexed="81"/>
            <rFont val="Tahoma"/>
            <family val="2"/>
            <charset val="186"/>
          </rPr>
          <t xml:space="preserve">
Nav NAI vispār.
TEP aktualizācijā pieņemta ietaupījuma izlietošana, tomēr ir zināms, ka tas nav noticis. Sniegta situācija bez ietaupījuma realizācijas.</t>
        </r>
      </text>
    </comment>
  </commentList>
</comments>
</file>

<file path=xl/sharedStrings.xml><?xml version="1.0" encoding="utf-8"?>
<sst xmlns="http://schemas.openxmlformats.org/spreadsheetml/2006/main" count="1841" uniqueCount="374">
  <si>
    <t>NAI izplūdes vieta</t>
  </si>
  <si>
    <t>Dūņezers</t>
  </si>
  <si>
    <t>Gauja</t>
  </si>
  <si>
    <t xml:space="preserve"> - </t>
  </si>
  <si>
    <t>Lielupe</t>
  </si>
  <si>
    <t>Ērgļi</t>
  </si>
  <si>
    <t>-</t>
  </si>
  <si>
    <t>Slocene</t>
  </si>
  <si>
    <t>Roja</t>
  </si>
  <si>
    <t>Venta</t>
  </si>
  <si>
    <t>Rēzekne</t>
  </si>
  <si>
    <t>Daugava</t>
  </si>
  <si>
    <t>Abuls</t>
  </si>
  <si>
    <t>Salaca</t>
  </si>
  <si>
    <t>Auce</t>
  </si>
  <si>
    <t>Īslīce</t>
  </si>
  <si>
    <t>Kopējais piesārņojums</t>
  </si>
  <si>
    <t>BSP5</t>
  </si>
  <si>
    <t>ĶSP</t>
  </si>
  <si>
    <t>SV</t>
  </si>
  <si>
    <t>Dūņās palikušais piesārņojums</t>
  </si>
  <si>
    <t>Dabā novadītais piesārņojums</t>
  </si>
  <si>
    <t>% no piesārņojuma, kas tiek attīrīti</t>
  </si>
  <si>
    <t>No NAI novadītais piesārņojums dabā</t>
  </si>
  <si>
    <t>Kopējais radītais piesārņojums</t>
  </si>
  <si>
    <t>Kopējais dabā novadītais piesārņojums</t>
  </si>
  <si>
    <t>Aglomerācija</t>
  </si>
  <si>
    <t>Iedzīvotāju CE</t>
  </si>
  <si>
    <t>Rūpnieciskais CE</t>
  </si>
  <si>
    <t>Kopējais CE</t>
  </si>
  <si>
    <t>N</t>
  </si>
  <si>
    <t>P</t>
  </si>
  <si>
    <t>Notekūdeņu savākšanas sistēmā  nepieciešamās  investīcijas</t>
  </si>
  <si>
    <t>Jaunu patērētāju pievienošanai aglomerācijā</t>
  </si>
  <si>
    <t>Esošās sistēmas rekonstrukcijai</t>
  </si>
  <si>
    <t>LVL</t>
  </si>
  <si>
    <t>NAI likvidētais piesārņojums</t>
  </si>
  <si>
    <t>Kopējais likvidētais piesārņojums</t>
  </si>
  <si>
    <t>Likvidētais piesārņojums</t>
  </si>
  <si>
    <t>Prognozējamā situācija uz 2015.g.</t>
  </si>
  <si>
    <t>%</t>
  </si>
  <si>
    <t>CE</t>
  </si>
  <si>
    <t>Centralizētās notekūdeņu savākšanas sistēmas pārklājums</t>
  </si>
  <si>
    <t>Izkliedētā piesārņojuma radītāju skaits</t>
  </si>
  <si>
    <t>Rīga</t>
  </si>
  <si>
    <t>Daugavpils</t>
  </si>
  <si>
    <t>Liepāja</t>
  </si>
  <si>
    <t>Iedzīvotāju skaits PMLP 2012</t>
  </si>
  <si>
    <t>Jelgava</t>
  </si>
  <si>
    <t>Jūrmala</t>
  </si>
  <si>
    <t>Ventspils</t>
  </si>
  <si>
    <t>Valmiera</t>
  </si>
  <si>
    <t>Ogre</t>
  </si>
  <si>
    <t>Jēkabpils</t>
  </si>
  <si>
    <t>Tukums</t>
  </si>
  <si>
    <t>Salaspils</t>
  </si>
  <si>
    <t>Cēsis</t>
  </si>
  <si>
    <t>Olaine</t>
  </si>
  <si>
    <t>Kuldīga</t>
  </si>
  <si>
    <t>Saldus</t>
  </si>
  <si>
    <t>Sigulda</t>
  </si>
  <si>
    <t>Dobele</t>
  </si>
  <si>
    <t>Talsi</t>
  </si>
  <si>
    <t>Bauska</t>
  </si>
  <si>
    <t>Mārupe</t>
  </si>
  <si>
    <t>Krāslava</t>
  </si>
  <si>
    <t>Ludza</t>
  </si>
  <si>
    <t>Gulbene</t>
  </si>
  <si>
    <t>Aizkraukle</t>
  </si>
  <si>
    <t>Limbaži</t>
  </si>
  <si>
    <t>Preiļi</t>
  </si>
  <si>
    <t>Alūksne</t>
  </si>
  <si>
    <t>Balvi</t>
  </si>
  <si>
    <t>Lielvārde</t>
  </si>
  <si>
    <t>Iecava</t>
  </si>
  <si>
    <t>Ķekava</t>
  </si>
  <si>
    <t>Ādaži</t>
  </si>
  <si>
    <t>Baloži</t>
  </si>
  <si>
    <t>Līvāni</t>
  </si>
  <si>
    <t>Smiltene</t>
  </si>
  <si>
    <t>Valka</t>
  </si>
  <si>
    <t>Ozolnieki</t>
  </si>
  <si>
    <t>Aizpute</t>
  </si>
  <si>
    <t>Carnikava</t>
  </si>
  <si>
    <t>Grobiņa</t>
  </si>
  <si>
    <t>Ikšķile</t>
  </si>
  <si>
    <t>Babīte</t>
  </si>
  <si>
    <t>Baltezers</t>
  </si>
  <si>
    <t>Brocēni</t>
  </si>
  <si>
    <t>Kandava</t>
  </si>
  <si>
    <t>Jaunolaine</t>
  </si>
  <si>
    <t>Vangaži</t>
  </si>
  <si>
    <t>Pļaviņas</t>
  </si>
  <si>
    <t xml:space="preserve">Rūjiena </t>
  </si>
  <si>
    <t>Saulkrasti</t>
  </si>
  <si>
    <t>Viļāni</t>
  </si>
  <si>
    <t>Koknese</t>
  </si>
  <si>
    <t>Ilūkste</t>
  </si>
  <si>
    <t>Malta</t>
  </si>
  <si>
    <t>Liepa</t>
  </si>
  <si>
    <t>Baldone</t>
  </si>
  <si>
    <t>Priekuļi</t>
  </si>
  <si>
    <t>Salacgrīva</t>
  </si>
  <si>
    <t>Skrīveri</t>
  </si>
  <si>
    <t>Ulbroka</t>
  </si>
  <si>
    <t>Vecumnieki</t>
  </si>
  <si>
    <t>Skrunda</t>
  </si>
  <si>
    <t>Priekule</t>
  </si>
  <si>
    <t>Ugāle</t>
  </si>
  <si>
    <t>Dagda</t>
  </si>
  <si>
    <t>Ķegums</t>
  </si>
  <si>
    <t>Kārsava</t>
  </si>
  <si>
    <t>Kalnciems</t>
  </si>
  <si>
    <t>Jaunjelgava</t>
  </si>
  <si>
    <t>Varakļāni</t>
  </si>
  <si>
    <t>Mālpils</t>
  </si>
  <si>
    <t>Vaiņode</t>
  </si>
  <si>
    <t>Stende</t>
  </si>
  <si>
    <t>Viesīte</t>
  </si>
  <si>
    <t>Dundaga</t>
  </si>
  <si>
    <t>Lubāna</t>
  </si>
  <si>
    <t>Zilupe</t>
  </si>
  <si>
    <t>Cesvaine</t>
  </si>
  <si>
    <t>Viļaka</t>
  </si>
  <si>
    <t>Aloja</t>
  </si>
  <si>
    <t>Mazsalaca</t>
  </si>
  <si>
    <t>Līgatne</t>
  </si>
  <si>
    <t>Jaunpiebalga</t>
  </si>
  <si>
    <t>Baltijas jūra</t>
  </si>
  <si>
    <t>2010.g. Cenās</t>
  </si>
  <si>
    <t>Madona</t>
  </si>
  <si>
    <t>Rēzeknes upe</t>
  </si>
  <si>
    <t>2008.g. Cenās</t>
  </si>
  <si>
    <t>2010.g. cenās</t>
  </si>
  <si>
    <t>Dīcmaņu strauts, vēlāk Cieceres upe, Ventas baseins</t>
  </si>
  <si>
    <t>Lorupe, vēlāk Gaujā</t>
  </si>
  <si>
    <t>2009.g. Cenās</t>
  </si>
  <si>
    <t>Bērzes upe</t>
  </si>
  <si>
    <t>Asarupe</t>
  </si>
  <si>
    <t>Riebas upe</t>
  </si>
  <si>
    <t>Maltaunieku strauts, Vaidava</t>
  </si>
  <si>
    <t>2007.g. Cenās</t>
  </si>
  <si>
    <t>Preiļupe</t>
  </si>
  <si>
    <t>Bolupes upe</t>
  </si>
  <si>
    <t>Lobes upe</t>
  </si>
  <si>
    <t>2010.g. Cenās NAI II kārta ilgtermņā</t>
  </si>
  <si>
    <t>Sedas upē</t>
  </si>
  <si>
    <t>Ālandes</t>
  </si>
  <si>
    <t>Meliorācijas grāvis</t>
  </si>
  <si>
    <t>Straujupīte</t>
  </si>
  <si>
    <t>Maltas upe</t>
  </si>
  <si>
    <t>Rūjas upe</t>
  </si>
  <si>
    <t>Aģes upe, Rīgas jūras līcis</t>
  </si>
  <si>
    <t>Kazenieku strauts</t>
  </si>
  <si>
    <t>2004.g. Cenās</t>
  </si>
  <si>
    <t>Grāvis, niedru lauks</t>
  </si>
  <si>
    <t>Maizītes upe</t>
  </si>
  <si>
    <t>Kauces strauts</t>
  </si>
  <si>
    <t>Uz Cēsu NAI</t>
  </si>
  <si>
    <t>Ķekaviņas upe</t>
  </si>
  <si>
    <t>2006.g. Cenās</t>
  </si>
  <si>
    <t>Dagdas ezers</t>
  </si>
  <si>
    <t>Taļķes upe</t>
  </si>
  <si>
    <t>Virgas upe</t>
  </si>
  <si>
    <t>Engures upe</t>
  </si>
  <si>
    <t>Ogres upe</t>
  </si>
  <si>
    <t>Soģupe</t>
  </si>
  <si>
    <t>Līgatnes upe</t>
  </si>
  <si>
    <t>D 463</t>
  </si>
  <si>
    <t>D 438</t>
  </si>
  <si>
    <t>D 427 SP</t>
  </si>
  <si>
    <t>D 480 SP</t>
  </si>
  <si>
    <t>D 451</t>
  </si>
  <si>
    <t>D 413 SP</t>
  </si>
  <si>
    <t>Piekrastes ŪOF</t>
  </si>
  <si>
    <t>E 189</t>
  </si>
  <si>
    <t>V 043</t>
  </si>
  <si>
    <t>V 004</t>
  </si>
  <si>
    <t>L 143</t>
  </si>
  <si>
    <t>G 205</t>
  </si>
  <si>
    <t>E 222</t>
  </si>
  <si>
    <t>G 220</t>
  </si>
  <si>
    <t>G 312</t>
  </si>
  <si>
    <t>G 209</t>
  </si>
  <si>
    <t>L 111</t>
  </si>
  <si>
    <t>2009.g. Cenās NAI dūņu laukums</t>
  </si>
  <si>
    <t>Šuņupe, pēc 100 m Daugavā</t>
  </si>
  <si>
    <t>???</t>
  </si>
  <si>
    <t>2011.g. Cenās</t>
  </si>
  <si>
    <t>4 km cauruļvads, Daugavā</t>
  </si>
  <si>
    <t>Misa</t>
  </si>
  <si>
    <t>Driksa</t>
  </si>
  <si>
    <t>Dzelzupe</t>
  </si>
  <si>
    <t>Uz Rīgas NAI</t>
  </si>
  <si>
    <t>Isanudas upe, pēc 400 m Ludzas ezers</t>
  </si>
  <si>
    <t>Meliorācijas grāvis, tālāk Daugava</t>
  </si>
  <si>
    <t>Rīgas NAI, Daugava</t>
  </si>
  <si>
    <t>Olainītes upe</t>
  </si>
  <si>
    <t>2010. cenās</t>
  </si>
  <si>
    <t>Abava</t>
  </si>
  <si>
    <t>Tebras upe</t>
  </si>
  <si>
    <t>Iecavas upe</t>
  </si>
  <si>
    <t>Piķurga</t>
  </si>
  <si>
    <t>Rojas upe</t>
  </si>
  <si>
    <t>Grāvis, pēc 2 km Līgotnes upe</t>
  </si>
  <si>
    <t>Ilūkstes upe</t>
  </si>
  <si>
    <t>Mergupe</t>
  </si>
  <si>
    <t>Krustlīces upe</t>
  </si>
  <si>
    <t>NAV NAI</t>
  </si>
  <si>
    <t>Meliorācijas grāvis tālāk Stendes upe; Otras NAI Vidusupē</t>
  </si>
  <si>
    <t>2012.g. Cenās</t>
  </si>
  <si>
    <t>Pāces upe</t>
  </si>
  <si>
    <t>Ziedu grāvis, tad Aiviekstes upe</t>
  </si>
  <si>
    <t>Sūlas upe</t>
  </si>
  <si>
    <t>Pušnicas upe</t>
  </si>
  <si>
    <t>Meliorācijs grāvis, pēc 1,3km Viesītes ezerā</t>
  </si>
  <si>
    <t>D 476</t>
  </si>
  <si>
    <t>E 072</t>
  </si>
  <si>
    <t>Piekrastes ŪO F</t>
  </si>
  <si>
    <t>Piekrastes ŪO E</t>
  </si>
  <si>
    <t>Piekrastes ŪO A</t>
  </si>
  <si>
    <t>Piekrastes ŪO B</t>
  </si>
  <si>
    <t>L 100 SP</t>
  </si>
  <si>
    <t>L 107</t>
  </si>
  <si>
    <t>V 091</t>
  </si>
  <si>
    <t>V 089 SP</t>
  </si>
  <si>
    <t>V 049</t>
  </si>
  <si>
    <t>2011.g. cenās</t>
  </si>
  <si>
    <t>2010.g.cenās</t>
  </si>
  <si>
    <t>Zilupes upē</t>
  </si>
  <si>
    <t>IZKLIEDĒTĀ PIESĀRŅOJUMA APRĒĶINS (t/g)</t>
  </si>
  <si>
    <t>NAI NOVADĪTĀ PIESĀRŅOJUMA APRĒĶINS (t/gadā)</t>
  </si>
  <si>
    <t>KOPĀ PIESĀRŅOJUMS (t/gadā)</t>
  </si>
  <si>
    <t xml:space="preserve">  </t>
  </si>
  <si>
    <t>Jaunu patērētāju pievienošanai aglomerācijā, LVL</t>
  </si>
  <si>
    <t>Esošās sistēmas rekonstrukcijai, LVL</t>
  </si>
  <si>
    <t xml:space="preserve"> </t>
  </si>
  <si>
    <t>Baseins</t>
  </si>
  <si>
    <t xml:space="preserve">Ūdensobjekta Nr. </t>
  </si>
  <si>
    <t>Riska ūdens objekts (jā /nē)</t>
  </si>
  <si>
    <t>Riska cēlonis</t>
  </si>
  <si>
    <t>Ekoloģiskā kvalitāte (2009/2015)</t>
  </si>
  <si>
    <t>Piemērots termiņa izņēmums</t>
  </si>
  <si>
    <t>Pasākumi NAI uzlabošanai</t>
  </si>
  <si>
    <t>Piekrastes</t>
  </si>
  <si>
    <t>jā</t>
  </si>
  <si>
    <t>iekšzemes ūdeņu kvalitāte</t>
  </si>
  <si>
    <t>slikta/vidēja</t>
  </si>
  <si>
    <t>līdz 2021.g.</t>
  </si>
  <si>
    <t>nav</t>
  </si>
  <si>
    <t>Daugavas</t>
  </si>
  <si>
    <t>D500</t>
  </si>
  <si>
    <t>nē</t>
  </si>
  <si>
    <t>laba/laba</t>
  </si>
  <si>
    <t>pārrobežu piesārņojums/ plūdu risks/ iekšzemes ūdeņu kvalitāte</t>
  </si>
  <si>
    <t>Lielupes</t>
  </si>
  <si>
    <t>punktveida/ izkliedētā</t>
  </si>
  <si>
    <t>ļoti slikta/ vidēja</t>
  </si>
  <si>
    <t>izkliedēta piesārņojuma slodze/ nav pilnībā noskaidrots</t>
  </si>
  <si>
    <t>ļoti slikta/ slikta</t>
  </si>
  <si>
    <t>līdz 2027.g.</t>
  </si>
  <si>
    <t>plūdu risks/ iekšzemes ūdeņu kvalitāte</t>
  </si>
  <si>
    <t>vidēja/ vidēja</t>
  </si>
  <si>
    <t>punktveida/ izkliedētā slodze</t>
  </si>
  <si>
    <t>slikta/laba</t>
  </si>
  <si>
    <t>Gaujas</t>
  </si>
  <si>
    <t>G215</t>
  </si>
  <si>
    <t>punktveida/ izkliedētā slodze/ plūdu risks</t>
  </si>
  <si>
    <t>vidēja/ laba</t>
  </si>
  <si>
    <t>punktveida slodze</t>
  </si>
  <si>
    <t>Ventas</t>
  </si>
  <si>
    <t>punktveida/izkliedētā</t>
  </si>
  <si>
    <t>vidēja/laba</t>
  </si>
  <si>
    <t>izkliedētā slodze</t>
  </si>
  <si>
    <t>L129</t>
  </si>
  <si>
    <t>augšteces ŪO ietekme, var nesasniegt mērķi 2015.g.</t>
  </si>
  <si>
    <t>V054</t>
  </si>
  <si>
    <t>pēc 2015.g.</t>
  </si>
  <si>
    <t>punktveida/ izkliedētā/ morfoloģiskā</t>
  </si>
  <si>
    <t>ļoti slikta/ laba</t>
  </si>
  <si>
    <t>V069</t>
  </si>
  <si>
    <t>punktveida/ izkliedētā piesārņojuma slodze</t>
  </si>
  <si>
    <t>2021.g.</t>
  </si>
  <si>
    <t>nav noskaidrots</t>
  </si>
  <si>
    <t>D444</t>
  </si>
  <si>
    <t>punktveida/ izkliedētā/ plūdu risks</t>
  </si>
  <si>
    <t>G235</t>
  </si>
  <si>
    <t>slikta/ laba</t>
  </si>
  <si>
    <t>punktveida piesārņojuma slodze</t>
  </si>
  <si>
    <t>ļoti slikta/slikta</t>
  </si>
  <si>
    <t>slikta/ vidēja</t>
  </si>
  <si>
    <t>punktveida/ izkliedētā slodze/ morfoloģiskā</t>
  </si>
  <si>
    <t>jānodrošina augstāka notekūdeņu attīrīšanas pakāpe</t>
  </si>
  <si>
    <t>L127</t>
  </si>
  <si>
    <t>G201</t>
  </si>
  <si>
    <t>G316</t>
  </si>
  <si>
    <t>V018</t>
  </si>
  <si>
    <t>V032</t>
  </si>
  <si>
    <t>augsta/ augsta</t>
  </si>
  <si>
    <t>E032</t>
  </si>
  <si>
    <t>2027.g.</t>
  </si>
  <si>
    <t>D459</t>
  </si>
  <si>
    <t xml:space="preserve">punktveida/ plūdu risks </t>
  </si>
  <si>
    <t>pārrobežu piesārņojums/ upju ienestais piesārņojums</t>
  </si>
  <si>
    <t>D410</t>
  </si>
  <si>
    <t>punktveida/ plūdu risks/ augšteces ŪO ietekme, var nesasniegt labu kvalitāti 2015.g.</t>
  </si>
  <si>
    <t>D491</t>
  </si>
  <si>
    <t>G209</t>
  </si>
  <si>
    <t>jānodrošina augstāka notekūdeņu attīrīšanas pakāpe (jau tiek nodrošināta novadot notekūdeņus uz Cēsīm)</t>
  </si>
  <si>
    <t>D414</t>
  </si>
  <si>
    <t>D514</t>
  </si>
  <si>
    <t>L132</t>
  </si>
  <si>
    <t>izkliedēta/ morfoloģiska/plūdu risks/ augšteces ŪO ietekme, var nesasniegt labu kvalitāti 2015.g.</t>
  </si>
  <si>
    <t>V007SP</t>
  </si>
  <si>
    <t>morfoloģiskā</t>
  </si>
  <si>
    <t>V076</t>
  </si>
  <si>
    <t>D421</t>
  </si>
  <si>
    <t>D408</t>
  </si>
  <si>
    <t>D441SP</t>
  </si>
  <si>
    <t>augstākais iespējamais/ augstākais iespējamais</t>
  </si>
  <si>
    <t>Ruņas upe</t>
  </si>
  <si>
    <t>V011</t>
  </si>
  <si>
    <t>L162</t>
  </si>
  <si>
    <t>V071</t>
  </si>
  <si>
    <t>D432</t>
  </si>
  <si>
    <t>D520SP</t>
  </si>
  <si>
    <t>D510SP</t>
  </si>
  <si>
    <t>G305</t>
  </si>
  <si>
    <t>G306</t>
  </si>
  <si>
    <t>G251</t>
  </si>
  <si>
    <t>Cauruļvadu būvniecības cenu izmaiņas % pret iepriekšējo gadu</t>
  </si>
  <si>
    <t>Papildus pieskaitāmās izmaksas*</t>
  </si>
  <si>
    <t>*) Papildus pieskaitāmās izmaksas ir tehniski ekonomiskā pamatojuma sagatavošana 2%; būvprojekta un būvekspertīzes izmaksas 4%; autoruzraudzības izmaksas 0,5%; būvuzraudzības izmaksas 3% (kopā 9,5% no kapitālajām izmaksām)</t>
  </si>
  <si>
    <t>Trešējā notekūdeņu attīrīšana, LVL</t>
  </si>
  <si>
    <t>nav, bet UBP plānota trešējā attīrīšana jo CE &gt; 10 000, pēc apstiprinātās aglomerācijas CE &lt; 10 000 un tiek nodrošināta tikai otrējā attīrīšana, tādēļ tiek plānots, ka nepieciešama arī trešējā attīrīšana, jo izplūde ir RŪO</t>
  </si>
  <si>
    <t>Termiņa izņēmumi</t>
  </si>
  <si>
    <t>Iedzīvotāju skaits</t>
  </si>
  <si>
    <t>ŪO plānotā kvalitāte 2015</t>
  </si>
  <si>
    <t>ŪO esošā kvalitāte 2009</t>
  </si>
  <si>
    <t>Kopējās investīcijas</t>
  </si>
  <si>
    <t>Investīcijas uz 1 iedz.</t>
  </si>
  <si>
    <t>CE apjoms</t>
  </si>
  <si>
    <t>CKS pieslēgumi</t>
  </si>
  <si>
    <t>NAI atbilstība</t>
  </si>
  <si>
    <t>Izplūde RŪ</t>
  </si>
  <si>
    <t>Punkti</t>
  </si>
  <si>
    <t>Prioritizācija</t>
  </si>
  <si>
    <t>Kods</t>
  </si>
  <si>
    <t>Prioritāte</t>
  </si>
  <si>
    <t>Izmaksas kopā, LVL</t>
  </si>
  <si>
    <t>Investīcijas uz 1 iedzīvotāju</t>
  </si>
  <si>
    <t>V066</t>
  </si>
  <si>
    <t>Daugavas baseins</t>
  </si>
  <si>
    <t>Gaujas baseins</t>
  </si>
  <si>
    <t>Lielupes baseins</t>
  </si>
  <si>
    <t>Ventas baseins</t>
  </si>
  <si>
    <t>Kopā Daugavas baseins</t>
  </si>
  <si>
    <t>Kopā Gaujas baseins</t>
  </si>
  <si>
    <t>Kopā Lielupes baseins</t>
  </si>
  <si>
    <t>Kopā piejūra</t>
  </si>
  <si>
    <t>Kopā Ventas baseins</t>
  </si>
  <si>
    <t>Kopā Latvijā</t>
  </si>
  <si>
    <t>Daugavas upes baseins</t>
  </si>
  <si>
    <t xml:space="preserve">  Daugavas upes baseins</t>
  </si>
  <si>
    <t>Gaujas upes baseins</t>
  </si>
  <si>
    <t>Lielupes upes baseins</t>
  </si>
  <si>
    <t>Ventas upes baseins</t>
  </si>
  <si>
    <t>Kopā Daugavas upes baseinā</t>
  </si>
  <si>
    <t>Kopā Gaujas upes baseinā</t>
  </si>
  <si>
    <t>Kopā Lielupes baseinā</t>
  </si>
  <si>
    <t>Kopā Piejūrā</t>
  </si>
  <si>
    <t>Kopā Ventas upes baseinā</t>
  </si>
  <si>
    <t>Piekrastes ūdens objekti</t>
  </si>
  <si>
    <t>koeficients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</si>
</sst>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22"/>
      <color theme="1"/>
      <name val="Calibri"/>
      <family val="2"/>
      <charset val="186"/>
      <scheme val="minor"/>
    </font>
    <font>
      <b/>
      <sz val="14"/>
      <color rgb="FFFF0000"/>
      <name val="Calibri"/>
      <family val="2"/>
      <charset val="186"/>
      <scheme val="minor"/>
    </font>
    <font>
      <b/>
      <sz val="13"/>
      <color theme="1"/>
      <name val="Calibri"/>
      <family val="2"/>
      <charset val="186"/>
      <scheme val="minor"/>
    </font>
    <font>
      <b/>
      <sz val="16"/>
      <color rgb="FFFF0000"/>
      <name val="Calibri"/>
      <family val="2"/>
      <charset val="186"/>
      <scheme val="minor"/>
    </font>
    <font>
      <b/>
      <sz val="12"/>
      <color rgb="FFFF0000"/>
      <name val="Calibri"/>
      <family val="2"/>
      <charset val="186"/>
      <scheme val="minor"/>
    </font>
    <font>
      <sz val="14"/>
      <color rgb="FFFF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56">
    <xf numFmtId="0" fontId="0" fillId="0" borderId="0" xfId="0"/>
    <xf numFmtId="0" fontId="0" fillId="0" borderId="0" xfId="0" applyBorder="1"/>
    <xf numFmtId="0" fontId="1" fillId="0" borderId="0" xfId="0" applyFont="1"/>
    <xf numFmtId="0" fontId="0" fillId="2" borderId="0" xfId="0" applyFill="1"/>
    <xf numFmtId="3" fontId="0" fillId="0" borderId="0" xfId="0" applyNumberFormat="1" applyBorder="1"/>
    <xf numFmtId="3" fontId="0" fillId="0" borderId="0" xfId="0" applyNumberFormat="1"/>
    <xf numFmtId="1" fontId="1" fillId="0" borderId="0" xfId="0" applyNumberFormat="1" applyFont="1"/>
    <xf numFmtId="3" fontId="0" fillId="3" borderId="5" xfId="0" applyNumberFormat="1" applyFill="1" applyBorder="1" applyAlignment="1">
      <alignment horizontal="center" wrapText="1"/>
    </xf>
    <xf numFmtId="3" fontId="0" fillId="3" borderId="5" xfId="0" applyNumberFormat="1" applyFill="1" applyBorder="1"/>
    <xf numFmtId="3" fontId="0" fillId="3" borderId="8" xfId="0" applyNumberFormat="1" applyFill="1" applyBorder="1"/>
    <xf numFmtId="0" fontId="5" fillId="3" borderId="5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5" fillId="4" borderId="4" xfId="0" applyFont="1" applyFill="1" applyBorder="1"/>
    <xf numFmtId="0" fontId="5" fillId="4" borderId="0" xfId="0" applyFont="1" applyFill="1" applyBorder="1"/>
    <xf numFmtId="0" fontId="5" fillId="4" borderId="5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5" fillId="5" borderId="4" xfId="0" applyFont="1" applyFill="1" applyBorder="1"/>
    <xf numFmtId="0" fontId="5" fillId="5" borderId="0" xfId="0" applyFont="1" applyFill="1" applyBorder="1"/>
    <xf numFmtId="0" fontId="5" fillId="5" borderId="5" xfId="0" applyFont="1" applyFill="1" applyBorder="1"/>
    <xf numFmtId="0" fontId="0" fillId="5" borderId="6" xfId="0" applyFill="1" applyBorder="1"/>
    <xf numFmtId="0" fontId="0" fillId="5" borderId="7" xfId="0" applyFill="1" applyBorder="1"/>
    <xf numFmtId="9" fontId="0" fillId="5" borderId="7" xfId="0" applyNumberFormat="1" applyFill="1" applyBorder="1"/>
    <xf numFmtId="0" fontId="0" fillId="5" borderId="8" xfId="0" applyFill="1" applyBorder="1"/>
    <xf numFmtId="0" fontId="1" fillId="6" borderId="4" xfId="0" applyFont="1" applyFill="1" applyBorder="1" applyAlignment="1"/>
    <xf numFmtId="0" fontId="5" fillId="6" borderId="0" xfId="0" applyFont="1" applyFill="1" applyBorder="1" applyAlignment="1"/>
    <xf numFmtId="0" fontId="5" fillId="6" borderId="0" xfId="0" applyFont="1" applyFill="1" applyBorder="1" applyAlignment="1">
      <alignment horizontal="center"/>
    </xf>
    <xf numFmtId="0" fontId="1" fillId="6" borderId="4" xfId="0" applyFont="1" applyFill="1" applyBorder="1"/>
    <xf numFmtId="0" fontId="5" fillId="6" borderId="0" xfId="0" applyFont="1" applyFill="1" applyBorder="1"/>
    <xf numFmtId="3" fontId="0" fillId="0" borderId="0" xfId="0" applyNumberFormat="1" applyFill="1" applyBorder="1"/>
    <xf numFmtId="10" fontId="0" fillId="0" borderId="0" xfId="1" applyNumberFormat="1" applyFont="1"/>
    <xf numFmtId="0" fontId="0" fillId="0" borderId="0" xfId="0" applyFill="1"/>
    <xf numFmtId="3" fontId="0" fillId="0" borderId="0" xfId="0" applyNumberFormat="1" applyFill="1"/>
    <xf numFmtId="3" fontId="0" fillId="3" borderId="0" xfId="0" applyNumberFormat="1" applyFill="1" applyBorder="1"/>
    <xf numFmtId="3" fontId="0" fillId="3" borderId="7" xfId="0" applyNumberFormat="1" applyFill="1" applyBorder="1"/>
    <xf numFmtId="0" fontId="0" fillId="0" borderId="15" xfId="0" applyBorder="1" applyAlignment="1"/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15" xfId="0" applyFill="1" applyBorder="1" applyAlignment="1">
      <alignment wrapText="1"/>
    </xf>
    <xf numFmtId="0" fontId="0" fillId="0" borderId="15" xfId="0" applyFill="1" applyBorder="1"/>
    <xf numFmtId="0" fontId="0" fillId="0" borderId="15" xfId="0" applyBorder="1" applyAlignment="1">
      <alignment wrapText="1"/>
    </xf>
    <xf numFmtId="0" fontId="0" fillId="2" borderId="15" xfId="0" applyFill="1" applyBorder="1"/>
    <xf numFmtId="0" fontId="0" fillId="2" borderId="15" xfId="0" applyFill="1" applyBorder="1" applyAlignment="1">
      <alignment horizontal="center"/>
    </xf>
    <xf numFmtId="0" fontId="0" fillId="2" borderId="15" xfId="0" applyFill="1" applyBorder="1" applyAlignment="1">
      <alignment wrapText="1"/>
    </xf>
    <xf numFmtId="0" fontId="0" fillId="0" borderId="15" xfId="0" applyBorder="1" applyAlignment="1">
      <alignment horizontal="left" wrapText="1"/>
    </xf>
    <xf numFmtId="0" fontId="0" fillId="0" borderId="15" xfId="0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19" xfId="0" applyFill="1" applyBorder="1" applyAlignment="1">
      <alignment wrapText="1"/>
    </xf>
    <xf numFmtId="0" fontId="0" fillId="0" borderId="19" xfId="0" applyFill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2" xfId="0" applyFill="1" applyBorder="1"/>
    <xf numFmtId="0" fontId="0" fillId="2" borderId="21" xfId="0" applyFill="1" applyBorder="1"/>
    <xf numFmtId="0" fontId="0" fillId="0" borderId="22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0" borderId="24" xfId="0" applyBorder="1" applyAlignment="1">
      <alignment horizontal="center"/>
    </xf>
    <xf numFmtId="0" fontId="0" fillId="0" borderId="24" xfId="0" applyBorder="1" applyAlignment="1">
      <alignment wrapText="1"/>
    </xf>
    <xf numFmtId="0" fontId="0" fillId="0" borderId="25" xfId="0" applyBorder="1"/>
    <xf numFmtId="3" fontId="0" fillId="3" borderId="0" xfId="0" applyNumberFormat="1" applyFill="1" applyBorder="1" applyAlignment="1">
      <alignment horizontal="center" wrapText="1"/>
    </xf>
    <xf numFmtId="3" fontId="0" fillId="0" borderId="15" xfId="0" applyNumberFormat="1" applyBorder="1"/>
    <xf numFmtId="0" fontId="0" fillId="4" borderId="15" xfId="0" applyFill="1" applyBorder="1"/>
    <xf numFmtId="0" fontId="0" fillId="5" borderId="15" xfId="0" applyFill="1" applyBorder="1"/>
    <xf numFmtId="9" fontId="0" fillId="5" borderId="15" xfId="0" applyNumberFormat="1" applyFill="1" applyBorder="1"/>
    <xf numFmtId="1" fontId="0" fillId="6" borderId="15" xfId="0" applyNumberFormat="1" applyFill="1" applyBorder="1"/>
    <xf numFmtId="165" fontId="0" fillId="6" borderId="15" xfId="0" applyNumberFormat="1" applyFill="1" applyBorder="1"/>
    <xf numFmtId="3" fontId="0" fillId="2" borderId="15" xfId="0" applyNumberFormat="1" applyFill="1" applyBorder="1"/>
    <xf numFmtId="3" fontId="0" fillId="0" borderId="19" xfId="0" applyNumberFormat="1" applyBorder="1"/>
    <xf numFmtId="0" fontId="0" fillId="4" borderId="19" xfId="0" applyFill="1" applyBorder="1"/>
    <xf numFmtId="0" fontId="0" fillId="5" borderId="19" xfId="0" applyFill="1" applyBorder="1"/>
    <xf numFmtId="9" fontId="0" fillId="5" borderId="19" xfId="0" applyNumberFormat="1" applyFill="1" applyBorder="1"/>
    <xf numFmtId="1" fontId="0" fillId="6" borderId="19" xfId="0" applyNumberFormat="1" applyFill="1" applyBorder="1"/>
    <xf numFmtId="165" fontId="0" fillId="6" borderId="19" xfId="0" applyNumberFormat="1" applyFill="1" applyBorder="1"/>
    <xf numFmtId="165" fontId="0" fillId="6" borderId="22" xfId="0" applyNumberFormat="1" applyFill="1" applyBorder="1"/>
    <xf numFmtId="0" fontId="0" fillId="4" borderId="24" xfId="0" applyFill="1" applyBorder="1"/>
    <xf numFmtId="0" fontId="0" fillId="5" borderId="24" xfId="0" applyFill="1" applyBorder="1"/>
    <xf numFmtId="9" fontId="0" fillId="5" borderId="24" xfId="0" applyNumberFormat="1" applyFill="1" applyBorder="1"/>
    <xf numFmtId="1" fontId="0" fillId="6" borderId="24" xfId="0" applyNumberFormat="1" applyFill="1" applyBorder="1"/>
    <xf numFmtId="165" fontId="0" fillId="6" borderId="24" xfId="0" applyNumberFormat="1" applyFill="1" applyBorder="1"/>
    <xf numFmtId="165" fontId="0" fillId="6" borderId="25" xfId="0" applyNumberFormat="1" applyFill="1" applyBorder="1"/>
    <xf numFmtId="1" fontId="0" fillId="6" borderId="21" xfId="0" applyNumberFormat="1" applyFill="1" applyBorder="1"/>
    <xf numFmtId="1" fontId="0" fillId="6" borderId="23" xfId="0" applyNumberFormat="1" applyFill="1" applyBorder="1"/>
    <xf numFmtId="0" fontId="0" fillId="5" borderId="21" xfId="0" applyFill="1" applyBorder="1"/>
    <xf numFmtId="0" fontId="0" fillId="5" borderId="22" xfId="0" applyFill="1" applyBorder="1"/>
    <xf numFmtId="0" fontId="0" fillId="5" borderId="23" xfId="0" applyFill="1" applyBorder="1"/>
    <xf numFmtId="0" fontId="0" fillId="5" borderId="25" xfId="0" applyFill="1" applyBorder="1"/>
    <xf numFmtId="3" fontId="0" fillId="0" borderId="16" xfId="0" applyNumberFormat="1" applyBorder="1"/>
    <xf numFmtId="3" fontId="0" fillId="0" borderId="27" xfId="0" applyNumberFormat="1" applyBorder="1"/>
    <xf numFmtId="0" fontId="0" fillId="4" borderId="21" xfId="0" applyFill="1" applyBorder="1"/>
    <xf numFmtId="0" fontId="0" fillId="4" borderId="23" xfId="0" applyFill="1" applyBorder="1"/>
    <xf numFmtId="164" fontId="0" fillId="0" borderId="28" xfId="1" applyNumberFormat="1" applyFont="1" applyBorder="1"/>
    <xf numFmtId="164" fontId="0" fillId="0" borderId="29" xfId="1" applyNumberFormat="1" applyFont="1" applyBorder="1"/>
    <xf numFmtId="164" fontId="0" fillId="0" borderId="30" xfId="1" applyNumberFormat="1" applyFont="1" applyBorder="1"/>
    <xf numFmtId="164" fontId="0" fillId="0" borderId="18" xfId="1" applyNumberFormat="1" applyFont="1" applyBorder="1"/>
    <xf numFmtId="3" fontId="0" fillId="0" borderId="20" xfId="0" applyNumberFormat="1" applyBorder="1"/>
    <xf numFmtId="164" fontId="0" fillId="0" borderId="21" xfId="1" applyNumberFormat="1" applyFont="1" applyBorder="1"/>
    <xf numFmtId="3" fontId="0" fillId="0" borderId="22" xfId="0" applyNumberFormat="1" applyBorder="1"/>
    <xf numFmtId="3" fontId="0" fillId="2" borderId="22" xfId="0" applyNumberFormat="1" applyFill="1" applyBorder="1"/>
    <xf numFmtId="1" fontId="0" fillId="0" borderId="22" xfId="0" applyNumberFormat="1" applyBorder="1"/>
    <xf numFmtId="164" fontId="0" fillId="0" borderId="23" xfId="1" applyNumberFormat="1" applyFont="1" applyBorder="1"/>
    <xf numFmtId="0" fontId="0" fillId="0" borderId="16" xfId="0" applyBorder="1"/>
    <xf numFmtId="3" fontId="0" fillId="2" borderId="16" xfId="0" applyNumberFormat="1" applyFill="1" applyBorder="1"/>
    <xf numFmtId="0" fontId="0" fillId="0" borderId="27" xfId="0" applyBorder="1"/>
    <xf numFmtId="3" fontId="0" fillId="0" borderId="31" xfId="0" applyNumberFormat="1" applyBorder="1"/>
    <xf numFmtId="3" fontId="0" fillId="0" borderId="32" xfId="0" applyNumberFormat="1" applyBorder="1"/>
    <xf numFmtId="3" fontId="0" fillId="0" borderId="33" xfId="0" applyNumberFormat="1" applyBorder="1"/>
    <xf numFmtId="3" fontId="0" fillId="0" borderId="34" xfId="0" applyNumberFormat="1" applyBorder="1"/>
    <xf numFmtId="3" fontId="0" fillId="0" borderId="17" xfId="0" applyNumberFormat="1" applyBorder="1"/>
    <xf numFmtId="0" fontId="0" fillId="0" borderId="17" xfId="0" applyBorder="1"/>
    <xf numFmtId="3" fontId="0" fillId="2" borderId="17" xfId="0" applyNumberFormat="1" applyFill="1" applyBorder="1"/>
    <xf numFmtId="0" fontId="0" fillId="0" borderId="35" xfId="0" applyBorder="1"/>
    <xf numFmtId="0" fontId="0" fillId="0" borderId="26" xfId="0" applyBorder="1"/>
    <xf numFmtId="0" fontId="0" fillId="0" borderId="16" xfId="0" applyBorder="1" applyAlignment="1">
      <alignment wrapText="1"/>
    </xf>
    <xf numFmtId="0" fontId="0" fillId="2" borderId="16" xfId="0" applyFill="1" applyBorder="1"/>
    <xf numFmtId="3" fontId="0" fillId="0" borderId="28" xfId="0" applyNumberFormat="1" applyBorder="1"/>
    <xf numFmtId="3" fontId="0" fillId="0" borderId="29" xfId="0" applyNumberFormat="1" applyBorder="1"/>
    <xf numFmtId="3" fontId="0" fillId="2" borderId="29" xfId="0" applyNumberFormat="1" applyFill="1" applyBorder="1"/>
    <xf numFmtId="3" fontId="0" fillId="0" borderId="30" xfId="0" applyNumberFormat="1" applyBorder="1"/>
    <xf numFmtId="0" fontId="0" fillId="2" borderId="22" xfId="0" applyFill="1" applyBorder="1"/>
    <xf numFmtId="164" fontId="0" fillId="0" borderId="36" xfId="1" applyNumberFormat="1" applyFont="1" applyBorder="1"/>
    <xf numFmtId="3" fontId="0" fillId="0" borderId="37" xfId="0" applyNumberFormat="1" applyBorder="1"/>
    <xf numFmtId="164" fontId="0" fillId="0" borderId="38" xfId="1" applyNumberFormat="1" applyFont="1" applyBorder="1"/>
    <xf numFmtId="3" fontId="0" fillId="0" borderId="39" xfId="0" applyNumberFormat="1" applyBorder="1"/>
    <xf numFmtId="0" fontId="5" fillId="0" borderId="23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5" fillId="0" borderId="27" xfId="0" applyFont="1" applyBorder="1" applyAlignment="1">
      <alignment horizontal="center" wrapText="1"/>
    </xf>
    <xf numFmtId="0" fontId="0" fillId="4" borderId="36" xfId="0" applyFill="1" applyBorder="1"/>
    <xf numFmtId="0" fontId="0" fillId="4" borderId="40" xfId="0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5" fillId="4" borderId="27" xfId="0" applyFont="1" applyFill="1" applyBorder="1"/>
    <xf numFmtId="0" fontId="0" fillId="5" borderId="36" xfId="0" applyFill="1" applyBorder="1"/>
    <xf numFmtId="0" fontId="0" fillId="5" borderId="40" xfId="0" applyFill="1" applyBorder="1"/>
    <xf numFmtId="9" fontId="0" fillId="5" borderId="40" xfId="0" applyNumberFormat="1" applyFill="1" applyBorder="1"/>
    <xf numFmtId="0" fontId="0" fillId="5" borderId="37" xfId="0" applyFill="1" applyBorder="1"/>
    <xf numFmtId="0" fontId="5" fillId="5" borderId="23" xfId="0" applyFont="1" applyFill="1" applyBorder="1"/>
    <xf numFmtId="0" fontId="5" fillId="5" borderId="24" xfId="0" applyFont="1" applyFill="1" applyBorder="1"/>
    <xf numFmtId="0" fontId="5" fillId="5" borderId="27" xfId="0" applyFont="1" applyFill="1" applyBorder="1"/>
    <xf numFmtId="0" fontId="5" fillId="3" borderId="0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1" fontId="0" fillId="6" borderId="36" xfId="0" applyNumberFormat="1" applyFill="1" applyBorder="1"/>
    <xf numFmtId="1" fontId="0" fillId="6" borderId="40" xfId="0" applyNumberFormat="1" applyFill="1" applyBorder="1"/>
    <xf numFmtId="0" fontId="1" fillId="6" borderId="23" xfId="0" applyFont="1" applyFill="1" applyBorder="1"/>
    <xf numFmtId="0" fontId="5" fillId="6" borderId="24" xfId="0" applyFont="1" applyFill="1" applyBorder="1"/>
    <xf numFmtId="0" fontId="5" fillId="6" borderId="25" xfId="0" applyFont="1" applyFill="1" applyBorder="1"/>
    <xf numFmtId="165" fontId="0" fillId="0" borderId="15" xfId="0" applyNumberFormat="1" applyFill="1" applyBorder="1"/>
    <xf numFmtId="1" fontId="0" fillId="0" borderId="15" xfId="0" applyNumberFormat="1" applyFill="1" applyBorder="1"/>
    <xf numFmtId="3" fontId="0" fillId="0" borderId="15" xfId="0" applyNumberFormat="1" applyFill="1" applyBorder="1"/>
    <xf numFmtId="3" fontId="0" fillId="3" borderId="15" xfId="0" applyNumberFormat="1" applyFill="1" applyBorder="1"/>
    <xf numFmtId="165" fontId="0" fillId="0" borderId="24" xfId="0" applyNumberFormat="1" applyFill="1" applyBorder="1"/>
    <xf numFmtId="3" fontId="0" fillId="3" borderId="24" xfId="0" applyNumberFormat="1" applyFill="1" applyBorder="1"/>
    <xf numFmtId="3" fontId="0" fillId="0" borderId="24" xfId="0" applyNumberFormat="1" applyFill="1" applyBorder="1"/>
    <xf numFmtId="3" fontId="0" fillId="0" borderId="16" xfId="0" applyNumberFormat="1" applyFill="1" applyBorder="1"/>
    <xf numFmtId="3" fontId="0" fillId="0" borderId="27" xfId="0" applyNumberFormat="1" applyFill="1" applyBorder="1"/>
    <xf numFmtId="165" fontId="0" fillId="0" borderId="21" xfId="0" applyNumberFormat="1" applyFill="1" applyBorder="1"/>
    <xf numFmtId="3" fontId="0" fillId="3" borderId="21" xfId="0" applyNumberFormat="1" applyFill="1" applyBorder="1"/>
    <xf numFmtId="165" fontId="0" fillId="0" borderId="23" xfId="0" applyNumberFormat="1" applyFill="1" applyBorder="1"/>
    <xf numFmtId="165" fontId="0" fillId="0" borderId="40" xfId="0" applyNumberFormat="1" applyFill="1" applyBorder="1"/>
    <xf numFmtId="1" fontId="0" fillId="0" borderId="40" xfId="0" applyNumberFormat="1" applyFill="1" applyBorder="1"/>
    <xf numFmtId="3" fontId="0" fillId="0" borderId="40" xfId="0" applyNumberFormat="1" applyFill="1" applyBorder="1"/>
    <xf numFmtId="3" fontId="0" fillId="0" borderId="39" xfId="0" applyNumberFormat="1" applyFill="1" applyBorder="1"/>
    <xf numFmtId="0" fontId="5" fillId="0" borderId="23" xfId="0" applyFont="1" applyFill="1" applyBorder="1"/>
    <xf numFmtId="0" fontId="5" fillId="0" borderId="41" xfId="0" applyFont="1" applyFill="1" applyBorder="1"/>
    <xf numFmtId="0" fontId="5" fillId="0" borderId="24" xfId="0" applyFont="1" applyFill="1" applyBorder="1"/>
    <xf numFmtId="0" fontId="5" fillId="0" borderId="27" xfId="0" applyFont="1" applyFill="1" applyBorder="1"/>
    <xf numFmtId="165" fontId="0" fillId="0" borderId="36" xfId="0" applyNumberFormat="1" applyFill="1" applyBorder="1"/>
    <xf numFmtId="164" fontId="5" fillId="0" borderId="44" xfId="0" applyNumberFormat="1" applyFont="1" applyFill="1" applyBorder="1"/>
    <xf numFmtId="164" fontId="5" fillId="0" borderId="45" xfId="0" applyNumberFormat="1" applyFont="1" applyFill="1" applyBorder="1"/>
    <xf numFmtId="0" fontId="5" fillId="0" borderId="30" xfId="0" applyFont="1" applyBorder="1" applyAlignment="1">
      <alignment horizontal="center" wrapText="1"/>
    </xf>
    <xf numFmtId="1" fontId="0" fillId="0" borderId="16" xfId="0" applyNumberFormat="1" applyBorder="1"/>
    <xf numFmtId="0" fontId="0" fillId="4" borderId="28" xfId="0" applyFill="1" applyBorder="1"/>
    <xf numFmtId="0" fontId="0" fillId="4" borderId="29" xfId="0" applyFill="1" applyBorder="1"/>
    <xf numFmtId="0" fontId="0" fillId="4" borderId="30" xfId="0" applyFill="1" applyBorder="1"/>
    <xf numFmtId="3" fontId="0" fillId="0" borderId="25" xfId="0" applyNumberFormat="1" applyBorder="1"/>
    <xf numFmtId="3" fontId="0" fillId="0" borderId="18" xfId="0" applyNumberFormat="1" applyBorder="1"/>
    <xf numFmtId="3" fontId="0" fillId="0" borderId="21" xfId="0" applyNumberFormat="1" applyBorder="1"/>
    <xf numFmtId="3" fontId="0" fillId="2" borderId="21" xfId="0" applyNumberFormat="1" applyFill="1" applyBorder="1"/>
    <xf numFmtId="3" fontId="0" fillId="0" borderId="35" xfId="0" applyNumberFormat="1" applyBorder="1"/>
    <xf numFmtId="165" fontId="0" fillId="4" borderId="40" xfId="0" applyNumberFormat="1" applyFill="1" applyBorder="1"/>
    <xf numFmtId="1" fontId="0" fillId="4" borderId="40" xfId="0" applyNumberFormat="1" applyFill="1" applyBorder="1"/>
    <xf numFmtId="164" fontId="5" fillId="2" borderId="45" xfId="0" applyNumberFormat="1" applyFont="1" applyFill="1" applyBorder="1" applyAlignment="1">
      <alignment horizontal="center" wrapText="1"/>
    </xf>
    <xf numFmtId="164" fontId="5" fillId="2" borderId="46" xfId="0" applyNumberFormat="1" applyFont="1" applyFill="1" applyBorder="1" applyAlignment="1">
      <alignment horizontal="center" wrapText="1"/>
    </xf>
    <xf numFmtId="164" fontId="5" fillId="2" borderId="48" xfId="0" applyNumberFormat="1" applyFont="1" applyFill="1" applyBorder="1" applyAlignment="1">
      <alignment horizontal="center" wrapText="1"/>
    </xf>
    <xf numFmtId="165" fontId="0" fillId="6" borderId="26" xfId="0" applyNumberFormat="1" applyFill="1" applyBorder="1"/>
    <xf numFmtId="165" fontId="0" fillId="6" borderId="16" xfId="0" applyNumberFormat="1" applyFill="1" applyBorder="1"/>
    <xf numFmtId="165" fontId="0" fillId="6" borderId="27" xfId="0" applyNumberFormat="1" applyFill="1" applyBorder="1"/>
    <xf numFmtId="0" fontId="5" fillId="0" borderId="42" xfId="0" applyFont="1" applyFill="1" applyBorder="1"/>
    <xf numFmtId="0" fontId="5" fillId="2" borderId="42" xfId="0" applyFont="1" applyFill="1" applyBorder="1" applyAlignment="1">
      <alignment horizontal="center" wrapText="1"/>
    </xf>
    <xf numFmtId="0" fontId="5" fillId="2" borderId="43" xfId="0" applyFont="1" applyFill="1" applyBorder="1" applyAlignment="1">
      <alignment horizontal="center" wrapText="1"/>
    </xf>
    <xf numFmtId="0" fontId="5" fillId="2" borderId="49" xfId="0" applyFont="1" applyFill="1" applyBorder="1" applyAlignment="1">
      <alignment horizontal="center" wrapText="1"/>
    </xf>
    <xf numFmtId="164" fontId="5" fillId="0" borderId="43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left" wrapText="1"/>
    </xf>
    <xf numFmtId="3" fontId="0" fillId="0" borderId="0" xfId="0" applyNumberFormat="1" applyFill="1" applyAlignment="1">
      <alignment horizontal="left" wrapText="1"/>
    </xf>
    <xf numFmtId="0" fontId="5" fillId="0" borderId="33" xfId="0" applyFont="1" applyFill="1" applyBorder="1"/>
    <xf numFmtId="3" fontId="0" fillId="0" borderId="38" xfId="0" applyNumberFormat="1" applyFill="1" applyBorder="1"/>
    <xf numFmtId="3" fontId="0" fillId="0" borderId="29" xfId="0" applyNumberFormat="1" applyFill="1" applyBorder="1"/>
    <xf numFmtId="3" fontId="0" fillId="0" borderId="30" xfId="0" applyNumberFormat="1" applyFill="1" applyBorder="1"/>
    <xf numFmtId="3" fontId="0" fillId="2" borderId="18" xfId="0" applyNumberFormat="1" applyFill="1" applyBorder="1"/>
    <xf numFmtId="3" fontId="0" fillId="2" borderId="23" xfId="0" applyNumberFormat="1" applyFill="1" applyBorder="1"/>
    <xf numFmtId="3" fontId="0" fillId="7" borderId="20" xfId="0" applyNumberFormat="1" applyFill="1" applyBorder="1"/>
    <xf numFmtId="3" fontId="0" fillId="7" borderId="37" xfId="0" applyNumberFormat="1" applyFill="1" applyBorder="1"/>
    <xf numFmtId="3" fontId="0" fillId="7" borderId="49" xfId="0" applyNumberFormat="1" applyFill="1" applyBorder="1"/>
    <xf numFmtId="0" fontId="5" fillId="0" borderId="9" xfId="0" applyFont="1" applyFill="1" applyBorder="1"/>
    <xf numFmtId="3" fontId="0" fillId="7" borderId="40" xfId="0" applyNumberFormat="1" applyFill="1" applyBorder="1"/>
    <xf numFmtId="164" fontId="5" fillId="0" borderId="7" xfId="0" applyNumberFormat="1" applyFont="1" applyFill="1" applyBorder="1" applyAlignment="1">
      <alignment horizontal="center"/>
    </xf>
    <xf numFmtId="164" fontId="5" fillId="0" borderId="6" xfId="0" applyNumberFormat="1" applyFont="1" applyFill="1" applyBorder="1" applyAlignment="1">
      <alignment horizontal="center"/>
    </xf>
    <xf numFmtId="164" fontId="5" fillId="0" borderId="42" xfId="0" applyNumberFormat="1" applyFont="1" applyFill="1" applyBorder="1" applyAlignment="1">
      <alignment horizontal="center"/>
    </xf>
    <xf numFmtId="0" fontId="0" fillId="0" borderId="53" xfId="0" applyBorder="1"/>
    <xf numFmtId="0" fontId="0" fillId="2" borderId="17" xfId="0" applyFill="1" applyBorder="1"/>
    <xf numFmtId="0" fontId="0" fillId="0" borderId="13" xfId="0" applyBorder="1" applyAlignment="1">
      <alignment wrapText="1"/>
    </xf>
    <xf numFmtId="0" fontId="0" fillId="2" borderId="0" xfId="0" applyFill="1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0" fillId="0" borderId="55" xfId="0" applyFill="1" applyBorder="1"/>
    <xf numFmtId="0" fontId="0" fillId="0" borderId="53" xfId="0" applyFill="1" applyBorder="1"/>
    <xf numFmtId="0" fontId="0" fillId="0" borderId="53" xfId="0" applyBorder="1" applyAlignment="1">
      <alignment horizontal="left"/>
    </xf>
    <xf numFmtId="0" fontId="0" fillId="0" borderId="54" xfId="0" applyBorder="1" applyAlignment="1">
      <alignment horizontal="left"/>
    </xf>
    <xf numFmtId="0" fontId="0" fillId="0" borderId="32" xfId="0" applyFill="1" applyBorder="1"/>
    <xf numFmtId="0" fontId="0" fillId="0" borderId="17" xfId="0" applyFill="1" applyBorder="1"/>
    <xf numFmtId="0" fontId="0" fillId="0" borderId="56" xfId="0" applyFill="1" applyBorder="1"/>
    <xf numFmtId="0" fontId="0" fillId="0" borderId="17" xfId="0" applyBorder="1" applyAlignment="1">
      <alignment wrapText="1"/>
    </xf>
    <xf numFmtId="0" fontId="0" fillId="0" borderId="32" xfId="0" applyBorder="1"/>
    <xf numFmtId="0" fontId="0" fillId="0" borderId="56" xfId="0" applyBorder="1"/>
    <xf numFmtId="0" fontId="1" fillId="0" borderId="14" xfId="0" applyFont="1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1" fillId="0" borderId="52" xfId="0" applyFont="1" applyFill="1" applyBorder="1" applyAlignment="1">
      <alignment horizontal="center" wrapText="1"/>
    </xf>
    <xf numFmtId="0" fontId="1" fillId="0" borderId="52" xfId="0" applyFont="1" applyBorder="1" applyAlignment="1">
      <alignment horizontal="center" wrapText="1"/>
    </xf>
    <xf numFmtId="0" fontId="1" fillId="3" borderId="9" xfId="0" applyFont="1" applyFill="1" applyBorder="1"/>
    <xf numFmtId="0" fontId="1" fillId="3" borderId="9" xfId="0" applyFont="1" applyFill="1" applyBorder="1" applyAlignment="1">
      <alignment wrapText="1"/>
    </xf>
    <xf numFmtId="1" fontId="1" fillId="0" borderId="9" xfId="0" applyNumberFormat="1" applyFont="1" applyBorder="1" applyAlignment="1">
      <alignment horizontal="center"/>
    </xf>
    <xf numFmtId="1" fontId="1" fillId="0" borderId="9" xfId="0" applyNumberFormat="1" applyFont="1" applyBorder="1"/>
    <xf numFmtId="0" fontId="0" fillId="0" borderId="47" xfId="0" applyBorder="1"/>
    <xf numFmtId="0" fontId="0" fillId="0" borderId="57" xfId="0" applyBorder="1"/>
    <xf numFmtId="0" fontId="0" fillId="2" borderId="57" xfId="0" applyFill="1" applyBorder="1"/>
    <xf numFmtId="0" fontId="0" fillId="0" borderId="58" xfId="0" applyBorder="1"/>
    <xf numFmtId="0" fontId="1" fillId="0" borderId="52" xfId="0" applyFont="1" applyBorder="1"/>
    <xf numFmtId="0" fontId="1" fillId="3" borderId="1" xfId="0" applyFont="1" applyFill="1" applyBorder="1"/>
    <xf numFmtId="0" fontId="1" fillId="0" borderId="4" xfId="0" applyFont="1" applyBorder="1" applyAlignment="1">
      <alignment horizontal="center"/>
    </xf>
    <xf numFmtId="0" fontId="1" fillId="0" borderId="9" xfId="0" applyFont="1" applyBorder="1"/>
    <xf numFmtId="3" fontId="0" fillId="0" borderId="59" xfId="0" applyNumberFormat="1" applyBorder="1"/>
    <xf numFmtId="0" fontId="1" fillId="0" borderId="0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0" borderId="15" xfId="0" applyFont="1" applyBorder="1" applyAlignment="1">
      <alignment horizontal="center"/>
    </xf>
    <xf numFmtId="1" fontId="0" fillId="0" borderId="17" xfId="0" applyNumberFormat="1" applyBorder="1"/>
    <xf numFmtId="0" fontId="0" fillId="2" borderId="32" xfId="0" applyFill="1" applyBorder="1"/>
    <xf numFmtId="4" fontId="0" fillId="0" borderId="0" xfId="0" applyNumberFormat="1" applyFill="1" applyBorder="1"/>
    <xf numFmtId="0" fontId="1" fillId="2" borderId="52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8" borderId="16" xfId="0" applyFill="1" applyBorder="1"/>
    <xf numFmtId="0" fontId="0" fillId="8" borderId="17" xfId="0" applyFill="1" applyBorder="1"/>
    <xf numFmtId="0" fontId="0" fillId="8" borderId="56" xfId="0" applyFill="1" applyBorder="1"/>
    <xf numFmtId="0" fontId="0" fillId="8" borderId="32" xfId="0" applyFill="1" applyBorder="1"/>
    <xf numFmtId="0" fontId="0" fillId="8" borderId="17" xfId="0" applyFill="1" applyBorder="1" applyAlignment="1">
      <alignment wrapText="1"/>
    </xf>
    <xf numFmtId="0" fontId="0" fillId="8" borderId="17" xfId="0" applyFill="1" applyBorder="1" applyAlignment="1"/>
    <xf numFmtId="0" fontId="0" fillId="0" borderId="16" xfId="0" applyFill="1" applyBorder="1"/>
    <xf numFmtId="0" fontId="6" fillId="0" borderId="4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0" fillId="2" borderId="56" xfId="0" applyFill="1" applyBorder="1"/>
    <xf numFmtId="0" fontId="0" fillId="0" borderId="40" xfId="0" applyBorder="1" applyAlignment="1">
      <alignment horizontal="center"/>
    </xf>
    <xf numFmtId="0" fontId="0" fillId="0" borderId="39" xfId="0" applyFill="1" applyBorder="1"/>
    <xf numFmtId="0" fontId="0" fillId="0" borderId="60" xfId="0" applyBorder="1"/>
    <xf numFmtId="0" fontId="0" fillId="0" borderId="61" xfId="0" applyFill="1" applyBorder="1"/>
    <xf numFmtId="0" fontId="0" fillId="0" borderId="62" xfId="0" applyFill="1" applyBorder="1"/>
    <xf numFmtId="0" fontId="0" fillId="0" borderId="60" xfId="0" applyFill="1" applyBorder="1"/>
    <xf numFmtId="0" fontId="0" fillId="0" borderId="21" xfId="0" applyBorder="1" applyAlignment="1">
      <alignment horizontal="center"/>
    </xf>
    <xf numFmtId="0" fontId="0" fillId="8" borderId="40" xfId="0" applyFill="1" applyBorder="1" applyAlignment="1">
      <alignment horizontal="center"/>
    </xf>
    <xf numFmtId="0" fontId="0" fillId="8" borderId="39" xfId="0" applyFill="1" applyBorder="1"/>
    <xf numFmtId="0" fontId="0" fillId="8" borderId="60" xfId="0" applyFill="1" applyBorder="1"/>
    <xf numFmtId="0" fontId="0" fillId="8" borderId="21" xfId="0" applyFill="1" applyBorder="1" applyAlignment="1">
      <alignment horizontal="center"/>
    </xf>
    <xf numFmtId="3" fontId="0" fillId="0" borderId="23" xfId="0" applyNumberFormat="1" applyBorder="1"/>
    <xf numFmtId="3" fontId="0" fillId="3" borderId="40" xfId="0" applyNumberFormat="1" applyFill="1" applyBorder="1"/>
    <xf numFmtId="0" fontId="0" fillId="0" borderId="19" xfId="0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0" fillId="0" borderId="26" xfId="0" applyBorder="1" applyAlignment="1">
      <alignment wrapText="1"/>
    </xf>
    <xf numFmtId="165" fontId="0" fillId="6" borderId="40" xfId="0" applyNumberFormat="1" applyFill="1" applyBorder="1"/>
    <xf numFmtId="165" fontId="0" fillId="6" borderId="37" xfId="0" applyNumberFormat="1" applyFill="1" applyBorder="1"/>
    <xf numFmtId="1" fontId="0" fillId="6" borderId="22" xfId="0" applyNumberFormat="1" applyFill="1" applyBorder="1"/>
    <xf numFmtId="0" fontId="5" fillId="0" borderId="63" xfId="0" applyFont="1" applyBorder="1" applyAlignment="1">
      <alignment horizontal="center" wrapText="1"/>
    </xf>
    <xf numFmtId="0" fontId="5" fillId="0" borderId="64" xfId="0" applyFont="1" applyBorder="1" applyAlignment="1">
      <alignment horizontal="center" wrapText="1"/>
    </xf>
    <xf numFmtId="0" fontId="5" fillId="0" borderId="65" xfId="0" applyFont="1" applyBorder="1" applyAlignment="1">
      <alignment horizontal="center" wrapText="1"/>
    </xf>
    <xf numFmtId="0" fontId="5" fillId="0" borderId="66" xfId="0" applyFont="1" applyBorder="1" applyAlignment="1">
      <alignment horizontal="center" wrapText="1"/>
    </xf>
    <xf numFmtId="0" fontId="5" fillId="4" borderId="63" xfId="0" applyFont="1" applyFill="1" applyBorder="1"/>
    <xf numFmtId="0" fontId="5" fillId="4" borderId="67" xfId="0" applyFont="1" applyFill="1" applyBorder="1"/>
    <xf numFmtId="0" fontId="5" fillId="4" borderId="66" xfId="0" applyFont="1" applyFill="1" applyBorder="1"/>
    <xf numFmtId="0" fontId="5" fillId="5" borderId="63" xfId="0" applyFont="1" applyFill="1" applyBorder="1"/>
    <xf numFmtId="0" fontId="5" fillId="5" borderId="67" xfId="0" applyFont="1" applyFill="1" applyBorder="1"/>
    <xf numFmtId="0" fontId="5" fillId="5" borderId="68" xfId="0" applyFont="1" applyFill="1" applyBorder="1"/>
    <xf numFmtId="0" fontId="5" fillId="5" borderId="66" xfId="0" applyFont="1" applyFill="1" applyBorder="1"/>
    <xf numFmtId="0" fontId="1" fillId="6" borderId="63" xfId="0" applyFont="1" applyFill="1" applyBorder="1"/>
    <xf numFmtId="0" fontId="5" fillId="6" borderId="67" xfId="0" applyFont="1" applyFill="1" applyBorder="1"/>
    <xf numFmtId="0" fontId="5" fillId="6" borderId="64" xfId="0" applyFont="1" applyFill="1" applyBorder="1"/>
    <xf numFmtId="0" fontId="0" fillId="0" borderId="69" xfId="0" applyBorder="1"/>
    <xf numFmtId="0" fontId="0" fillId="0" borderId="36" xfId="0" applyBorder="1"/>
    <xf numFmtId="3" fontId="5" fillId="0" borderId="0" xfId="0" applyNumberFormat="1" applyFont="1" applyBorder="1"/>
    <xf numFmtId="0" fontId="0" fillId="0" borderId="70" xfId="0" applyBorder="1"/>
    <xf numFmtId="3" fontId="0" fillId="0" borderId="71" xfId="0" applyNumberFormat="1" applyBorder="1"/>
    <xf numFmtId="0" fontId="0" fillId="0" borderId="72" xfId="0" applyBorder="1"/>
    <xf numFmtId="3" fontId="0" fillId="0" borderId="53" xfId="0" applyNumberFormat="1" applyBorder="1"/>
    <xf numFmtId="3" fontId="5" fillId="0" borderId="52" xfId="0" applyNumberFormat="1" applyFont="1" applyBorder="1"/>
    <xf numFmtId="3" fontId="0" fillId="0" borderId="55" xfId="0" applyNumberFormat="1" applyBorder="1"/>
    <xf numFmtId="164" fontId="0" fillId="0" borderId="69" xfId="1" applyNumberFormat="1" applyFont="1" applyBorder="1"/>
    <xf numFmtId="3" fontId="0" fillId="0" borderId="70" xfId="0" applyNumberFormat="1" applyBorder="1"/>
    <xf numFmtId="164" fontId="0" fillId="0" borderId="71" xfId="1" applyNumberFormat="1" applyFont="1" applyBorder="1"/>
    <xf numFmtId="3" fontId="0" fillId="0" borderId="72" xfId="0" applyNumberFormat="1" applyBorder="1"/>
    <xf numFmtId="0" fontId="0" fillId="4" borderId="69" xfId="0" applyFill="1" applyBorder="1"/>
    <xf numFmtId="3" fontId="5" fillId="4" borderId="52" xfId="0" applyNumberFormat="1" applyFont="1" applyFill="1" applyBorder="1"/>
    <xf numFmtId="1" fontId="0" fillId="4" borderId="67" xfId="0" applyNumberFormat="1" applyFill="1" applyBorder="1"/>
    <xf numFmtId="0" fontId="0" fillId="4" borderId="67" xfId="0" applyFill="1" applyBorder="1"/>
    <xf numFmtId="0" fontId="0" fillId="4" borderId="68" xfId="0" applyFill="1" applyBorder="1"/>
    <xf numFmtId="165" fontId="0" fillId="4" borderId="67" xfId="0" applyNumberFormat="1" applyFill="1" applyBorder="1"/>
    <xf numFmtId="0" fontId="0" fillId="5" borderId="69" xfId="0" applyFill="1" applyBorder="1"/>
    <xf numFmtId="3" fontId="5" fillId="5" borderId="52" xfId="0" applyNumberFormat="1" applyFont="1" applyFill="1" applyBorder="1"/>
    <xf numFmtId="0" fontId="0" fillId="5" borderId="67" xfId="0" applyFill="1" applyBorder="1"/>
    <xf numFmtId="0" fontId="0" fillId="5" borderId="68" xfId="0" applyFill="1" applyBorder="1"/>
    <xf numFmtId="9" fontId="0" fillId="5" borderId="68" xfId="0" applyNumberFormat="1" applyFill="1" applyBorder="1"/>
    <xf numFmtId="0" fontId="0" fillId="5" borderId="70" xfId="0" applyFill="1" applyBorder="1"/>
    <xf numFmtId="1" fontId="0" fillId="6" borderId="69" xfId="0" applyNumberFormat="1" applyFill="1" applyBorder="1"/>
    <xf numFmtId="3" fontId="5" fillId="6" borderId="52" xfId="0" applyNumberFormat="1" applyFont="1" applyFill="1" applyBorder="1"/>
    <xf numFmtId="1" fontId="0" fillId="6" borderId="68" xfId="0" applyNumberFormat="1" applyFill="1" applyBorder="1"/>
    <xf numFmtId="165" fontId="0" fillId="6" borderId="68" xfId="0" applyNumberFormat="1" applyFill="1" applyBorder="1"/>
    <xf numFmtId="165" fontId="0" fillId="6" borderId="70" xfId="0" applyNumberFormat="1" applyFill="1" applyBorder="1"/>
    <xf numFmtId="164" fontId="5" fillId="0" borderId="52" xfId="1" applyNumberFormat="1" applyFont="1" applyBorder="1"/>
    <xf numFmtId="10" fontId="5" fillId="0" borderId="52" xfId="1" applyNumberFormat="1" applyFont="1" applyBorder="1"/>
    <xf numFmtId="164" fontId="0" fillId="2" borderId="36" xfId="1" applyNumberFormat="1" applyFont="1" applyFill="1" applyBorder="1"/>
    <xf numFmtId="3" fontId="0" fillId="2" borderId="37" xfId="0" applyNumberFormat="1" applyFill="1" applyBorder="1"/>
    <xf numFmtId="164" fontId="0" fillId="2" borderId="38" xfId="1" applyNumberFormat="1" applyFont="1" applyFill="1" applyBorder="1"/>
    <xf numFmtId="3" fontId="0" fillId="2" borderId="39" xfId="0" applyNumberFormat="1" applyFill="1" applyBorder="1"/>
    <xf numFmtId="0" fontId="0" fillId="2" borderId="36" xfId="0" applyFill="1" applyBorder="1"/>
    <xf numFmtId="1" fontId="0" fillId="2" borderId="40" xfId="0" applyNumberFormat="1" applyFill="1" applyBorder="1"/>
    <xf numFmtId="0" fontId="0" fillId="2" borderId="40" xfId="0" applyFill="1" applyBorder="1"/>
    <xf numFmtId="165" fontId="0" fillId="2" borderId="40" xfId="0" applyNumberFormat="1" applyFill="1" applyBorder="1"/>
    <xf numFmtId="9" fontId="0" fillId="2" borderId="40" xfId="0" applyNumberFormat="1" applyFill="1" applyBorder="1"/>
    <xf numFmtId="0" fontId="0" fillId="2" borderId="37" xfId="0" applyFill="1" applyBorder="1"/>
    <xf numFmtId="1" fontId="0" fillId="2" borderId="36" xfId="0" applyNumberFormat="1" applyFill="1" applyBorder="1"/>
    <xf numFmtId="165" fontId="0" fillId="2" borderId="37" xfId="0" applyNumberFormat="1" applyFill="1" applyBorder="1"/>
    <xf numFmtId="0" fontId="5" fillId="0" borderId="69" xfId="0" applyFont="1" applyBorder="1"/>
    <xf numFmtId="0" fontId="5" fillId="0" borderId="0" xfId="0" applyFont="1" applyBorder="1"/>
    <xf numFmtId="3" fontId="5" fillId="3" borderId="0" xfId="0" applyNumberFormat="1" applyFont="1" applyFill="1" applyBorder="1"/>
    <xf numFmtId="3" fontId="5" fillId="3" borderId="5" xfId="0" applyNumberFormat="1" applyFont="1" applyFill="1" applyBorder="1"/>
    <xf numFmtId="0" fontId="5" fillId="0" borderId="0" xfId="0" applyFont="1"/>
    <xf numFmtId="0" fontId="0" fillId="0" borderId="37" xfId="0" applyBorder="1"/>
    <xf numFmtId="0" fontId="5" fillId="0" borderId="36" xfId="0" applyFont="1" applyBorder="1"/>
    <xf numFmtId="0" fontId="5" fillId="0" borderId="0" xfId="0" applyFont="1" applyBorder="1" applyAlignment="1">
      <alignment wrapText="1"/>
    </xf>
    <xf numFmtId="0" fontId="0" fillId="0" borderId="72" xfId="0" applyBorder="1" applyAlignment="1">
      <alignment wrapText="1"/>
    </xf>
    <xf numFmtId="0" fontId="5" fillId="0" borderId="21" xfId="0" applyFont="1" applyBorder="1"/>
    <xf numFmtId="1" fontId="0" fillId="6" borderId="0" xfId="0" applyNumberFormat="1" applyFill="1" applyBorder="1"/>
    <xf numFmtId="165" fontId="0" fillId="6" borderId="0" xfId="0" applyNumberFormat="1" applyFill="1" applyBorder="1"/>
    <xf numFmtId="0" fontId="9" fillId="0" borderId="0" xfId="0" applyFont="1"/>
    <xf numFmtId="3" fontId="9" fillId="0" borderId="0" xfId="0" applyNumberFormat="1" applyFont="1"/>
    <xf numFmtId="164" fontId="9" fillId="0" borderId="0" xfId="1" applyNumberFormat="1" applyFont="1"/>
    <xf numFmtId="0" fontId="1" fillId="6" borderId="0" xfId="0" applyFont="1" applyFill="1" applyBorder="1"/>
    <xf numFmtId="164" fontId="5" fillId="0" borderId="66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5" fillId="7" borderId="66" xfId="0" applyFont="1" applyFill="1" applyBorder="1" applyAlignment="1">
      <alignment horizontal="center" wrapText="1"/>
    </xf>
    <xf numFmtId="164" fontId="5" fillId="0" borderId="63" xfId="0" applyNumberFormat="1" applyFont="1" applyFill="1" applyBorder="1"/>
    <xf numFmtId="164" fontId="5" fillId="0" borderId="67" xfId="0" applyNumberFormat="1" applyFont="1" applyFill="1" applyBorder="1"/>
    <xf numFmtId="164" fontId="5" fillId="2" borderId="67" xfId="0" applyNumberFormat="1" applyFont="1" applyFill="1" applyBorder="1" applyAlignment="1">
      <alignment horizontal="center" wrapText="1"/>
    </xf>
    <xf numFmtId="164" fontId="5" fillId="2" borderId="66" xfId="0" applyNumberFormat="1" applyFont="1" applyFill="1" applyBorder="1" applyAlignment="1">
      <alignment horizontal="center" wrapText="1"/>
    </xf>
    <xf numFmtId="1" fontId="1" fillId="0" borderId="1" xfId="0" applyNumberFormat="1" applyFont="1" applyBorder="1"/>
    <xf numFmtId="0" fontId="1" fillId="0" borderId="4" xfId="0" applyFont="1" applyBorder="1"/>
    <xf numFmtId="0" fontId="1" fillId="0" borderId="13" xfId="0" applyFont="1" applyBorder="1"/>
    <xf numFmtId="0" fontId="0" fillId="2" borderId="29" xfId="0" applyFill="1" applyBorder="1"/>
    <xf numFmtId="9" fontId="0" fillId="2" borderId="15" xfId="0" applyNumberFormat="1" applyFill="1" applyBorder="1"/>
    <xf numFmtId="1" fontId="0" fillId="2" borderId="15" xfId="0" applyNumberFormat="1" applyFill="1" applyBorder="1"/>
    <xf numFmtId="165" fontId="0" fillId="2" borderId="15" xfId="0" applyNumberFormat="1" applyFill="1" applyBorder="1"/>
    <xf numFmtId="165" fontId="0" fillId="2" borderId="16" xfId="0" applyNumberFormat="1" applyFill="1" applyBorder="1"/>
    <xf numFmtId="165" fontId="0" fillId="2" borderId="21" xfId="0" applyNumberFormat="1" applyFill="1" applyBorder="1"/>
    <xf numFmtId="3" fontId="0" fillId="2" borderId="40" xfId="0" applyNumberFormat="1" applyFill="1" applyBorder="1"/>
    <xf numFmtId="3" fontId="0" fillId="2" borderId="59" xfId="0" applyNumberFormat="1" applyFill="1" applyBorder="1"/>
    <xf numFmtId="1" fontId="0" fillId="2" borderId="17" xfId="0" applyNumberFormat="1" applyFill="1" applyBorder="1"/>
    <xf numFmtId="165" fontId="0" fillId="0" borderId="0" xfId="0" applyNumberFormat="1" applyFill="1" applyBorder="1"/>
    <xf numFmtId="1" fontId="0" fillId="0" borderId="0" xfId="0" applyNumberFormat="1" applyBorder="1"/>
    <xf numFmtId="3" fontId="5" fillId="2" borderId="21" xfId="0" applyNumberFormat="1" applyFont="1" applyFill="1" applyBorder="1"/>
    <xf numFmtId="3" fontId="5" fillId="2" borderId="16" xfId="0" applyNumberFormat="1" applyFont="1" applyFill="1" applyBorder="1"/>
    <xf numFmtId="3" fontId="5" fillId="2" borderId="0" xfId="0" applyNumberFormat="1" applyFont="1" applyFill="1" applyBorder="1"/>
    <xf numFmtId="3" fontId="5" fillId="0" borderId="0" xfId="0" applyNumberFormat="1" applyFont="1" applyFill="1" applyBorder="1"/>
    <xf numFmtId="0" fontId="12" fillId="4" borderId="7" xfId="0" applyFont="1" applyFill="1" applyBorder="1"/>
    <xf numFmtId="0" fontId="12" fillId="5" borderId="7" xfId="0" applyFont="1" applyFill="1" applyBorder="1"/>
    <xf numFmtId="9" fontId="12" fillId="5" borderId="7" xfId="0" applyNumberFormat="1" applyFont="1" applyFill="1" applyBorder="1"/>
    <xf numFmtId="1" fontId="12" fillId="6" borderId="0" xfId="0" applyNumberFormat="1" applyFont="1" applyFill="1" applyBorder="1"/>
    <xf numFmtId="165" fontId="12" fillId="6" borderId="0" xfId="0" applyNumberFormat="1" applyFont="1" applyFill="1" applyBorder="1"/>
    <xf numFmtId="165" fontId="12" fillId="0" borderId="0" xfId="0" applyNumberFormat="1" applyFont="1" applyFill="1" applyBorder="1"/>
    <xf numFmtId="3" fontId="12" fillId="3" borderId="0" xfId="0" applyNumberFormat="1" applyFont="1" applyFill="1" applyBorder="1"/>
    <xf numFmtId="3" fontId="12" fillId="0" borderId="0" xfId="0" applyNumberFormat="1" applyFont="1" applyFill="1" applyBorder="1"/>
    <xf numFmtId="3" fontId="12" fillId="2" borderId="0" xfId="0" applyNumberFormat="1" applyFont="1" applyFill="1" applyBorder="1"/>
    <xf numFmtId="0" fontId="12" fillId="0" borderId="0" xfId="0" applyFont="1" applyBorder="1"/>
    <xf numFmtId="3" fontId="12" fillId="0" borderId="0" xfId="0" applyNumberFormat="1" applyFont="1" applyBorder="1"/>
    <xf numFmtId="1" fontId="12" fillId="0" borderId="0" xfId="0" applyNumberFormat="1" applyFont="1" applyBorder="1"/>
    <xf numFmtId="0" fontId="12" fillId="0" borderId="0" xfId="0" applyFont="1"/>
    <xf numFmtId="1" fontId="0" fillId="0" borderId="57" xfId="0" applyNumberFormat="1" applyBorder="1"/>
    <xf numFmtId="0" fontId="0" fillId="0" borderId="68" xfId="0" applyBorder="1"/>
    <xf numFmtId="0" fontId="0" fillId="0" borderId="68" xfId="0" applyBorder="1" applyAlignment="1">
      <alignment wrapText="1"/>
    </xf>
    <xf numFmtId="0" fontId="0" fillId="0" borderId="40" xfId="0" applyBorder="1"/>
    <xf numFmtId="0" fontId="0" fillId="0" borderId="40" xfId="0" applyBorder="1" applyAlignment="1">
      <alignment wrapText="1"/>
    </xf>
    <xf numFmtId="0" fontId="0" fillId="0" borderId="40" xfId="0" applyFill="1" applyBorder="1"/>
    <xf numFmtId="0" fontId="0" fillId="0" borderId="5" xfId="0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0" fontId="9" fillId="0" borderId="0" xfId="1" applyNumberFormat="1" applyFont="1"/>
    <xf numFmtId="1" fontId="13" fillId="0" borderId="67" xfId="1" applyNumberFormat="1" applyFont="1" applyFill="1" applyBorder="1" applyAlignment="1">
      <alignment horizontal="center"/>
    </xf>
    <xf numFmtId="2" fontId="13" fillId="0" borderId="67" xfId="0" applyNumberFormat="1" applyFont="1" applyFill="1" applyBorder="1" applyAlignment="1">
      <alignment horizontal="center"/>
    </xf>
    <xf numFmtId="0" fontId="13" fillId="7" borderId="66" xfId="0" applyFont="1" applyFill="1" applyBorder="1" applyAlignment="1">
      <alignment horizontal="center" wrapText="1"/>
    </xf>
    <xf numFmtId="164" fontId="13" fillId="0" borderId="0" xfId="0" applyNumberFormat="1" applyFont="1" applyFill="1" applyBorder="1" applyAlignment="1">
      <alignment horizontal="center"/>
    </xf>
    <xf numFmtId="0" fontId="13" fillId="0" borderId="63" xfId="0" applyFont="1" applyFill="1" applyBorder="1"/>
    <xf numFmtId="3" fontId="0" fillId="9" borderId="21" xfId="0" applyNumberFormat="1" applyFill="1" applyBorder="1"/>
    <xf numFmtId="0" fontId="6" fillId="0" borderId="3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4" borderId="19" xfId="0" applyFont="1" applyFill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6" fillId="3" borderId="9" xfId="0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center" wrapText="1"/>
    </xf>
    <xf numFmtId="0" fontId="5" fillId="4" borderId="18" xfId="0" applyFont="1" applyFill="1" applyBorder="1" applyAlignment="1">
      <alignment horizontal="center" wrapText="1"/>
    </xf>
    <xf numFmtId="0" fontId="5" fillId="4" borderId="26" xfId="0" applyFont="1" applyFill="1" applyBorder="1" applyAlignment="1">
      <alignment horizontal="center" wrapText="1"/>
    </xf>
    <xf numFmtId="0" fontId="5" fillId="5" borderId="18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 wrapText="1"/>
    </xf>
    <xf numFmtId="0" fontId="5" fillId="5" borderId="26" xfId="0" applyFont="1" applyFill="1" applyBorder="1" applyAlignment="1">
      <alignment horizontal="center" wrapText="1"/>
    </xf>
    <xf numFmtId="0" fontId="5" fillId="6" borderId="19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 wrapText="1"/>
    </xf>
    <xf numFmtId="0" fontId="6" fillId="5" borderId="3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wrapText="1"/>
    </xf>
    <xf numFmtId="0" fontId="6" fillId="6" borderId="2" xfId="0" applyFont="1" applyFill="1" applyBorder="1" applyAlignment="1">
      <alignment horizontal="center" wrapText="1"/>
    </xf>
    <xf numFmtId="0" fontId="6" fillId="6" borderId="3" xfId="0" applyFont="1" applyFill="1" applyBorder="1" applyAlignment="1">
      <alignment horizontal="center" wrapText="1"/>
    </xf>
    <xf numFmtId="0" fontId="5" fillId="6" borderId="20" xfId="0" applyFont="1" applyFill="1" applyBorder="1" applyAlignment="1">
      <alignment horizontal="center" wrapText="1"/>
    </xf>
    <xf numFmtId="0" fontId="1" fillId="6" borderId="47" xfId="0" applyFont="1" applyFill="1" applyBorder="1" applyAlignment="1">
      <alignment horizontal="center"/>
    </xf>
    <xf numFmtId="0" fontId="1" fillId="6" borderId="31" xfId="0" applyFont="1" applyFill="1" applyBorder="1" applyAlignment="1">
      <alignment horizontal="center"/>
    </xf>
    <xf numFmtId="0" fontId="1" fillId="6" borderId="28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3" fontId="0" fillId="0" borderId="2" xfId="0" applyNumberFormat="1" applyFill="1" applyBorder="1" applyAlignment="1">
      <alignment horizontal="left" wrapText="1"/>
    </xf>
    <xf numFmtId="3" fontId="0" fillId="0" borderId="0" xfId="0" applyNumberFormat="1" applyFill="1" applyAlignment="1">
      <alignment horizontal="left" wrapText="1"/>
    </xf>
    <xf numFmtId="0" fontId="5" fillId="7" borderId="51" xfId="0" applyFont="1" applyFill="1" applyBorder="1" applyAlignment="1">
      <alignment horizontal="center" wrapText="1"/>
    </xf>
    <xf numFmtId="0" fontId="5" fillId="7" borderId="49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4" borderId="0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4" borderId="9" xfId="0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wrapText="1"/>
    </xf>
    <xf numFmtId="0" fontId="6" fillId="4" borderId="11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6" fillId="5" borderId="9" xfId="0" applyFont="1" applyFill="1" applyBorder="1" applyAlignment="1">
      <alignment horizontal="center" wrapText="1"/>
    </xf>
    <xf numFmtId="0" fontId="6" fillId="5" borderId="10" xfId="0" applyFont="1" applyFill="1" applyBorder="1" applyAlignment="1">
      <alignment horizontal="center" wrapText="1"/>
    </xf>
    <xf numFmtId="0" fontId="6" fillId="5" borderId="11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0" xfId="0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5" fillId="3" borderId="18" xfId="0" applyFont="1" applyFill="1" applyBorder="1" applyAlignment="1">
      <alignment horizontal="center" wrapText="1"/>
    </xf>
    <xf numFmtId="0" fontId="5" fillId="3" borderId="19" xfId="0" applyFont="1" applyFill="1" applyBorder="1" applyAlignment="1">
      <alignment horizontal="center" wrapText="1"/>
    </xf>
    <xf numFmtId="0" fontId="5" fillId="3" borderId="50" xfId="0" applyFont="1" applyFill="1" applyBorder="1" applyAlignment="1">
      <alignment horizontal="center" wrapText="1"/>
    </xf>
    <xf numFmtId="0" fontId="5" fillId="3" borderId="26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center" wrapText="1"/>
    </xf>
    <xf numFmtId="0" fontId="5" fillId="6" borderId="0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0" fillId="0" borderId="6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0" fontId="10" fillId="2" borderId="6" xfId="0" applyFont="1" applyFill="1" applyBorder="1" applyAlignment="1">
      <alignment horizontal="left" wrapText="1"/>
    </xf>
    <xf numFmtId="0" fontId="10" fillId="2" borderId="7" xfId="0" applyFont="1" applyFill="1" applyBorder="1" applyAlignment="1">
      <alignment horizontal="left" wrapText="1"/>
    </xf>
    <xf numFmtId="0" fontId="10" fillId="2" borderId="8" xfId="0" applyFont="1" applyFill="1" applyBorder="1" applyAlignment="1">
      <alignment horizontal="left" wrapText="1"/>
    </xf>
    <xf numFmtId="0" fontId="5" fillId="2" borderId="57" xfId="0" applyFont="1" applyFill="1" applyBorder="1" applyAlignment="1">
      <alignment horizontal="left"/>
    </xf>
    <xf numFmtId="0" fontId="5" fillId="2" borderId="32" xfId="0" applyFont="1" applyFill="1" applyBorder="1" applyAlignment="1">
      <alignment horizontal="left"/>
    </xf>
    <xf numFmtId="0" fontId="5" fillId="2" borderId="56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11" fillId="0" borderId="59" xfId="0" applyFont="1" applyBorder="1" applyAlignment="1">
      <alignment horizontal="left"/>
    </xf>
    <xf numFmtId="0" fontId="11" fillId="0" borderId="62" xfId="0" applyFont="1" applyBorder="1" applyAlignment="1">
      <alignment horizontal="left"/>
    </xf>
    <xf numFmtId="0" fontId="11" fillId="0" borderId="57" xfId="0" applyFont="1" applyBorder="1" applyAlignment="1">
      <alignment horizontal="left"/>
    </xf>
    <xf numFmtId="0" fontId="11" fillId="0" borderId="32" xfId="0" applyFont="1" applyBorder="1" applyAlignment="1">
      <alignment horizontal="left"/>
    </xf>
    <xf numFmtId="0" fontId="11" fillId="0" borderId="29" xfId="0" applyFont="1" applyBorder="1" applyAlignment="1">
      <alignment horizontal="left"/>
    </xf>
    <xf numFmtId="0" fontId="11" fillId="0" borderId="47" xfId="0" applyFont="1" applyBorder="1" applyAlignment="1">
      <alignment horizontal="left"/>
    </xf>
    <xf numFmtId="0" fontId="11" fillId="0" borderId="31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11" fillId="0" borderId="58" xfId="0" applyFont="1" applyBorder="1" applyAlignment="1">
      <alignment horizontal="left"/>
    </xf>
    <xf numFmtId="0" fontId="11" fillId="0" borderId="33" xfId="0" applyFont="1" applyBorder="1" applyAlignment="1">
      <alignment horizontal="left"/>
    </xf>
    <xf numFmtId="0" fontId="11" fillId="0" borderId="30" xfId="0" applyFont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0" borderId="57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0" fillId="2" borderId="57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56" xfId="0" applyFill="1" applyBorder="1" applyAlignment="1">
      <alignment horizontal="center"/>
    </xf>
    <xf numFmtId="0" fontId="11" fillId="0" borderId="59" xfId="0" applyFont="1" applyBorder="1" applyAlignment="1">
      <alignment horizontal="center" wrapText="1"/>
    </xf>
    <xf numFmtId="0" fontId="11" fillId="0" borderId="62" xfId="0" applyFont="1" applyBorder="1" applyAlignment="1">
      <alignment horizontal="center" wrapText="1"/>
    </xf>
    <xf numFmtId="0" fontId="11" fillId="0" borderId="61" xfId="0" applyFont="1" applyBorder="1" applyAlignment="1">
      <alignment horizontal="center" wrapText="1"/>
    </xf>
    <xf numFmtId="0" fontId="11" fillId="0" borderId="57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56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CC"/>
      <color rgb="FFFFCCFF"/>
      <color rgb="FFCCE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Z107"/>
  <sheetViews>
    <sheetView tabSelected="1" view="pageBreakPreview" zoomScale="90" zoomScaleNormal="90" zoomScaleSheetLayoutView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H7" sqref="H7"/>
    </sheetView>
  </sheetViews>
  <sheetFormatPr defaultRowHeight="15" x14ac:dyDescent="0.25"/>
  <cols>
    <col min="1" max="1" width="11.42578125" customWidth="1"/>
    <col min="2" max="2" width="3.42578125" customWidth="1"/>
    <col min="3" max="3" width="12.42578125" customWidth="1"/>
    <col min="4" max="4" width="14" customWidth="1"/>
    <col min="5" max="5" width="12.42578125" customWidth="1"/>
    <col min="6" max="6" width="12.42578125" hidden="1" customWidth="1"/>
    <col min="7" max="7" width="11.42578125" customWidth="1"/>
    <col min="8" max="8" width="13.5703125" customWidth="1"/>
    <col min="9" max="9" width="11.28515625" customWidth="1"/>
    <col min="10" max="10" width="8.42578125" customWidth="1"/>
    <col min="11" max="11" width="11" customWidth="1"/>
    <col min="12" max="12" width="7.42578125" customWidth="1"/>
    <col min="13" max="13" width="8.7109375" customWidth="1"/>
    <col min="14" max="15" width="6.7109375" customWidth="1"/>
    <col min="16" max="16" width="7.140625" customWidth="1"/>
    <col min="17" max="17" width="4.85546875" customWidth="1"/>
    <col min="18" max="18" width="4" customWidth="1"/>
    <col min="19" max="19" width="5.140625" customWidth="1"/>
    <col min="20" max="21" width="4.7109375" customWidth="1"/>
    <col min="22" max="23" width="4.5703125" customWidth="1"/>
    <col min="24" max="24" width="4.85546875" customWidth="1"/>
    <col min="25" max="25" width="4.5703125" customWidth="1"/>
    <col min="26" max="26" width="4.7109375" customWidth="1"/>
    <col min="27" max="27" width="3.85546875" customWidth="1"/>
    <col min="28" max="28" width="3.42578125" customWidth="1"/>
    <col min="29" max="29" width="6.5703125" customWidth="1"/>
    <col min="30" max="30" width="6.7109375" customWidth="1"/>
    <col min="31" max="31" width="6.5703125" customWidth="1"/>
    <col min="32" max="32" width="4.5703125" customWidth="1"/>
    <col min="33" max="33" width="4.140625" customWidth="1"/>
    <col min="34" max="34" width="7.85546875" customWidth="1"/>
    <col min="35" max="35" width="8" customWidth="1"/>
    <col min="36" max="36" width="7.7109375" customWidth="1"/>
    <col min="37" max="37" width="6.85546875" customWidth="1"/>
    <col min="38" max="38" width="6.5703125" customWidth="1"/>
    <col min="39" max="43" width="5.7109375" customWidth="1"/>
    <col min="44" max="45" width="8" customWidth="1"/>
    <col min="46" max="46" width="8.140625" customWidth="1"/>
    <col min="47" max="47" width="6.7109375" customWidth="1"/>
    <col min="48" max="48" width="5.7109375" customWidth="1"/>
    <col min="49" max="49" width="7.42578125" customWidth="1"/>
    <col min="50" max="50" width="8" customWidth="1"/>
    <col min="51" max="51" width="6.7109375" customWidth="1"/>
    <col min="52" max="52" width="6.5703125" customWidth="1"/>
    <col min="53" max="53" width="6.140625" customWidth="1"/>
    <col min="54" max="54" width="8.7109375" customWidth="1"/>
    <col min="55" max="56" width="8.140625" customWidth="1"/>
    <col min="57" max="57" width="6.42578125" customWidth="1"/>
    <col min="58" max="58" width="6.7109375" customWidth="1"/>
    <col min="59" max="59" width="6.85546875" customWidth="1"/>
    <col min="60" max="60" width="8" customWidth="1"/>
    <col min="61" max="62" width="6.7109375" customWidth="1"/>
    <col min="63" max="63" width="4.85546875" customWidth="1"/>
    <col min="64" max="64" width="8" customWidth="1"/>
    <col min="65" max="66" width="7.85546875" customWidth="1"/>
    <col min="67" max="67" width="6.5703125" customWidth="1"/>
    <col min="68" max="68" width="5.140625" customWidth="1"/>
    <col min="69" max="69" width="21.42578125" hidden="1" customWidth="1"/>
    <col min="70" max="70" width="19.7109375" hidden="1" customWidth="1"/>
    <col min="71" max="71" width="0" hidden="1" customWidth="1"/>
  </cols>
  <sheetData>
    <row r="2" spans="1:78" ht="15.75" thickBot="1" x14ac:dyDescent="0.3">
      <c r="A2" t="s">
        <v>236</v>
      </c>
    </row>
    <row r="3" spans="1:78" s="2" customFormat="1" ht="40.5" customHeight="1" thickBot="1" x14ac:dyDescent="0.35">
      <c r="B3" s="421" t="s">
        <v>26</v>
      </c>
      <c r="C3" s="422"/>
      <c r="D3" s="416" t="s">
        <v>47</v>
      </c>
      <c r="E3" s="426" t="s">
        <v>0</v>
      </c>
      <c r="F3" s="283"/>
      <c r="G3" s="428" t="s">
        <v>39</v>
      </c>
      <c r="H3" s="428"/>
      <c r="I3" s="428"/>
      <c r="J3" s="428"/>
      <c r="K3" s="428"/>
      <c r="L3" s="428"/>
      <c r="M3" s="429"/>
      <c r="N3" s="442" t="s">
        <v>230</v>
      </c>
      <c r="O3" s="443"/>
      <c r="P3" s="443"/>
      <c r="Q3" s="443"/>
      <c r="R3" s="443"/>
      <c r="S3" s="443"/>
      <c r="T3" s="443"/>
      <c r="U3" s="443"/>
      <c r="V3" s="443"/>
      <c r="W3" s="443"/>
      <c r="X3" s="443"/>
      <c r="Y3" s="443"/>
      <c r="Z3" s="443"/>
      <c r="AA3" s="443"/>
      <c r="AB3" s="443"/>
      <c r="AC3" s="443"/>
      <c r="AD3" s="443"/>
      <c r="AE3" s="443"/>
      <c r="AF3" s="443"/>
      <c r="AG3" s="444"/>
      <c r="AH3" s="445" t="s">
        <v>231</v>
      </c>
      <c r="AI3" s="446"/>
      <c r="AJ3" s="446"/>
      <c r="AK3" s="446"/>
      <c r="AL3" s="446"/>
      <c r="AM3" s="446"/>
      <c r="AN3" s="446"/>
      <c r="AO3" s="446"/>
      <c r="AP3" s="446"/>
      <c r="AQ3" s="446"/>
      <c r="AR3" s="446"/>
      <c r="AS3" s="446"/>
      <c r="AT3" s="446"/>
      <c r="AU3" s="446"/>
      <c r="AV3" s="446"/>
      <c r="AW3" s="446"/>
      <c r="AX3" s="446"/>
      <c r="AY3" s="446"/>
      <c r="AZ3" s="446"/>
      <c r="BA3" s="447"/>
      <c r="BB3" s="448" t="s">
        <v>232</v>
      </c>
      <c r="BC3" s="449"/>
      <c r="BD3" s="449"/>
      <c r="BE3" s="449"/>
      <c r="BF3" s="449"/>
      <c r="BG3" s="449"/>
      <c r="BH3" s="449"/>
      <c r="BI3" s="449"/>
      <c r="BJ3" s="449"/>
      <c r="BK3" s="449"/>
      <c r="BL3" s="449"/>
      <c r="BM3" s="449"/>
      <c r="BN3" s="449"/>
      <c r="BO3" s="449"/>
      <c r="BP3" s="450"/>
      <c r="BQ3" s="433" t="s">
        <v>32</v>
      </c>
      <c r="BR3" s="434"/>
    </row>
    <row r="4" spans="1:78" s="2" customFormat="1" ht="46.5" customHeight="1" x14ac:dyDescent="0.3">
      <c r="B4" s="423"/>
      <c r="C4" s="424"/>
      <c r="D4" s="417"/>
      <c r="E4" s="427"/>
      <c r="F4" s="261"/>
      <c r="G4" s="430" t="s">
        <v>27</v>
      </c>
      <c r="H4" s="430" t="s">
        <v>28</v>
      </c>
      <c r="I4" s="420" t="s">
        <v>29</v>
      </c>
      <c r="J4" s="418" t="s">
        <v>42</v>
      </c>
      <c r="K4" s="419"/>
      <c r="L4" s="418" t="s">
        <v>43</v>
      </c>
      <c r="M4" s="420"/>
      <c r="N4" s="435" t="s">
        <v>16</v>
      </c>
      <c r="O4" s="425"/>
      <c r="P4" s="425"/>
      <c r="Q4" s="425"/>
      <c r="R4" s="425"/>
      <c r="S4" s="425" t="s">
        <v>20</v>
      </c>
      <c r="T4" s="425"/>
      <c r="U4" s="425"/>
      <c r="V4" s="425"/>
      <c r="W4" s="425"/>
      <c r="X4" s="425" t="s">
        <v>38</v>
      </c>
      <c r="Y4" s="425"/>
      <c r="Z4" s="425"/>
      <c r="AA4" s="425"/>
      <c r="AB4" s="425"/>
      <c r="AC4" s="425" t="s">
        <v>21</v>
      </c>
      <c r="AD4" s="425"/>
      <c r="AE4" s="425"/>
      <c r="AF4" s="425"/>
      <c r="AG4" s="436"/>
      <c r="AH4" s="437" t="s">
        <v>16</v>
      </c>
      <c r="AI4" s="438"/>
      <c r="AJ4" s="438"/>
      <c r="AK4" s="438"/>
      <c r="AL4" s="438"/>
      <c r="AM4" s="439" t="s">
        <v>22</v>
      </c>
      <c r="AN4" s="439"/>
      <c r="AO4" s="439"/>
      <c r="AP4" s="439"/>
      <c r="AQ4" s="439"/>
      <c r="AR4" s="438" t="s">
        <v>36</v>
      </c>
      <c r="AS4" s="438"/>
      <c r="AT4" s="438"/>
      <c r="AU4" s="438"/>
      <c r="AV4" s="438"/>
      <c r="AW4" s="439" t="s">
        <v>23</v>
      </c>
      <c r="AX4" s="439"/>
      <c r="AY4" s="439"/>
      <c r="AZ4" s="439"/>
      <c r="BA4" s="440"/>
      <c r="BB4" s="452" t="s">
        <v>24</v>
      </c>
      <c r="BC4" s="453"/>
      <c r="BD4" s="453"/>
      <c r="BE4" s="453"/>
      <c r="BF4" s="454"/>
      <c r="BG4" s="441" t="s">
        <v>25</v>
      </c>
      <c r="BH4" s="441"/>
      <c r="BI4" s="441"/>
      <c r="BJ4" s="441"/>
      <c r="BK4" s="441"/>
      <c r="BL4" s="441" t="s">
        <v>37</v>
      </c>
      <c r="BM4" s="441"/>
      <c r="BN4" s="441"/>
      <c r="BO4" s="441"/>
      <c r="BP4" s="451"/>
      <c r="BQ4" s="141" t="s">
        <v>33</v>
      </c>
      <c r="BR4" s="10" t="s">
        <v>34</v>
      </c>
    </row>
    <row r="5" spans="1:78" s="2" customFormat="1" ht="21" customHeight="1" thickBot="1" x14ac:dyDescent="0.35">
      <c r="B5" s="423"/>
      <c r="C5" s="424"/>
      <c r="D5" s="417"/>
      <c r="E5" s="427"/>
      <c r="F5" s="261"/>
      <c r="G5" s="431"/>
      <c r="H5" s="431"/>
      <c r="I5" s="432"/>
      <c r="J5" s="126" t="s">
        <v>40</v>
      </c>
      <c r="K5" s="127" t="s">
        <v>41</v>
      </c>
      <c r="L5" s="126" t="s">
        <v>40</v>
      </c>
      <c r="M5" s="128" t="s">
        <v>41</v>
      </c>
      <c r="N5" s="131" t="s">
        <v>17</v>
      </c>
      <c r="O5" s="132" t="s">
        <v>18</v>
      </c>
      <c r="P5" s="132" t="s">
        <v>19</v>
      </c>
      <c r="Q5" s="132" t="s">
        <v>30</v>
      </c>
      <c r="R5" s="132" t="s">
        <v>31</v>
      </c>
      <c r="S5" s="132" t="s">
        <v>17</v>
      </c>
      <c r="T5" s="132" t="s">
        <v>18</v>
      </c>
      <c r="U5" s="132" t="s">
        <v>19</v>
      </c>
      <c r="V5" s="132" t="s">
        <v>30</v>
      </c>
      <c r="W5" s="132" t="s">
        <v>31</v>
      </c>
      <c r="X5" s="132" t="s">
        <v>17</v>
      </c>
      <c r="Y5" s="132" t="s">
        <v>18</v>
      </c>
      <c r="Z5" s="132" t="s">
        <v>19</v>
      </c>
      <c r="AA5" s="132" t="s">
        <v>30</v>
      </c>
      <c r="AB5" s="132" t="s">
        <v>31</v>
      </c>
      <c r="AC5" s="132" t="s">
        <v>17</v>
      </c>
      <c r="AD5" s="132" t="s">
        <v>18</v>
      </c>
      <c r="AE5" s="132" t="s">
        <v>19</v>
      </c>
      <c r="AF5" s="132" t="s">
        <v>30</v>
      </c>
      <c r="AG5" s="133" t="s">
        <v>31</v>
      </c>
      <c r="AH5" s="138" t="s">
        <v>17</v>
      </c>
      <c r="AI5" s="139" t="s">
        <v>18</v>
      </c>
      <c r="AJ5" s="139" t="s">
        <v>19</v>
      </c>
      <c r="AK5" s="139" t="s">
        <v>30</v>
      </c>
      <c r="AL5" s="139" t="s">
        <v>31</v>
      </c>
      <c r="AM5" s="139" t="s">
        <v>17</v>
      </c>
      <c r="AN5" s="139" t="s">
        <v>18</v>
      </c>
      <c r="AO5" s="139" t="s">
        <v>19</v>
      </c>
      <c r="AP5" s="139" t="s">
        <v>30</v>
      </c>
      <c r="AQ5" s="139" t="s">
        <v>31</v>
      </c>
      <c r="AR5" s="139" t="s">
        <v>17</v>
      </c>
      <c r="AS5" s="139" t="s">
        <v>18</v>
      </c>
      <c r="AT5" s="139" t="s">
        <v>19</v>
      </c>
      <c r="AU5" s="139" t="s">
        <v>30</v>
      </c>
      <c r="AV5" s="139" t="s">
        <v>31</v>
      </c>
      <c r="AW5" s="139" t="s">
        <v>17</v>
      </c>
      <c r="AX5" s="139" t="s">
        <v>18</v>
      </c>
      <c r="AY5" s="139" t="s">
        <v>19</v>
      </c>
      <c r="AZ5" s="139" t="s">
        <v>30</v>
      </c>
      <c r="BA5" s="140" t="s">
        <v>31</v>
      </c>
      <c r="BB5" s="145" t="s">
        <v>17</v>
      </c>
      <c r="BC5" s="146" t="s">
        <v>18</v>
      </c>
      <c r="BD5" s="146" t="s">
        <v>19</v>
      </c>
      <c r="BE5" s="146" t="s">
        <v>30</v>
      </c>
      <c r="BF5" s="146" t="s">
        <v>31</v>
      </c>
      <c r="BG5" s="146" t="s">
        <v>17</v>
      </c>
      <c r="BH5" s="146" t="s">
        <v>18</v>
      </c>
      <c r="BI5" s="146" t="s">
        <v>19</v>
      </c>
      <c r="BJ5" s="146" t="s">
        <v>30</v>
      </c>
      <c r="BK5" s="146" t="s">
        <v>31</v>
      </c>
      <c r="BL5" s="146" t="s">
        <v>17</v>
      </c>
      <c r="BM5" s="146" t="s">
        <v>18</v>
      </c>
      <c r="BN5" s="146" t="s">
        <v>19</v>
      </c>
      <c r="BO5" s="146" t="s">
        <v>30</v>
      </c>
      <c r="BP5" s="147" t="s">
        <v>31</v>
      </c>
      <c r="BQ5" s="142" t="s">
        <v>35</v>
      </c>
      <c r="BR5" s="11" t="s">
        <v>35</v>
      </c>
      <c r="BU5" s="6"/>
      <c r="BV5" s="6"/>
      <c r="BW5" s="6"/>
      <c r="BX5" s="6"/>
      <c r="BY5" s="6"/>
      <c r="BZ5" s="6"/>
    </row>
    <row r="6" spans="1:78" s="2" customFormat="1" ht="21" customHeight="1" thickBot="1" x14ac:dyDescent="0.35">
      <c r="B6" s="459" t="s">
        <v>352</v>
      </c>
      <c r="C6" s="460"/>
      <c r="D6" s="460"/>
      <c r="E6" s="460"/>
      <c r="F6" s="460"/>
      <c r="G6" s="460"/>
      <c r="H6" s="460"/>
      <c r="I6" s="461"/>
      <c r="J6" s="288"/>
      <c r="K6" s="289"/>
      <c r="L6" s="290"/>
      <c r="M6" s="291"/>
      <c r="N6" s="292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4"/>
      <c r="AH6" s="295"/>
      <c r="AI6" s="296"/>
      <c r="AJ6" s="296"/>
      <c r="AK6" s="296"/>
      <c r="AL6" s="296"/>
      <c r="AM6" s="296"/>
      <c r="AN6" s="296"/>
      <c r="AO6" s="296"/>
      <c r="AP6" s="297"/>
      <c r="AQ6" s="297"/>
      <c r="AR6" s="296"/>
      <c r="AS6" s="296"/>
      <c r="AT6" s="296"/>
      <c r="AU6" s="296"/>
      <c r="AV6" s="296"/>
      <c r="AW6" s="296"/>
      <c r="AX6" s="296"/>
      <c r="AY6" s="296"/>
      <c r="AZ6" s="296"/>
      <c r="BA6" s="298"/>
      <c r="BB6" s="299"/>
      <c r="BC6" s="300"/>
      <c r="BD6" s="300"/>
      <c r="BE6" s="300"/>
      <c r="BF6" s="300"/>
      <c r="BG6" s="300"/>
      <c r="BH6" s="300"/>
      <c r="BI6" s="300"/>
      <c r="BJ6" s="300"/>
      <c r="BK6" s="300"/>
      <c r="BL6" s="300"/>
      <c r="BM6" s="300"/>
      <c r="BN6" s="300"/>
      <c r="BO6" s="300"/>
      <c r="BP6" s="301"/>
      <c r="BQ6" s="141"/>
      <c r="BR6" s="10"/>
      <c r="BU6" s="6"/>
      <c r="BV6" s="6"/>
      <c r="BW6" s="6"/>
      <c r="BX6" s="6"/>
      <c r="BY6" s="6"/>
      <c r="BZ6" s="6"/>
    </row>
    <row r="7" spans="1:78" s="1" customFormat="1" ht="45" x14ac:dyDescent="0.25">
      <c r="A7" s="52"/>
      <c r="B7" s="46">
        <v>2</v>
      </c>
      <c r="C7" s="51" t="s">
        <v>45</v>
      </c>
      <c r="D7" s="117">
        <v>101057</v>
      </c>
      <c r="E7" s="284" t="s">
        <v>186</v>
      </c>
      <c r="F7" s="282" t="s">
        <v>250</v>
      </c>
      <c r="G7" s="109">
        <v>100334</v>
      </c>
      <c r="H7" s="109">
        <v>13163</v>
      </c>
      <c r="I7" s="106">
        <f t="shared" ref="I7:I38" si="0">G7+H7</f>
        <v>113497</v>
      </c>
      <c r="J7" s="122">
        <f t="shared" ref="J7:J38" si="1">K7/G7</f>
        <v>1</v>
      </c>
      <c r="K7" s="123">
        <v>100334</v>
      </c>
      <c r="L7" s="124">
        <f t="shared" ref="L7:L38" si="2">M7/G7</f>
        <v>0</v>
      </c>
      <c r="M7" s="125">
        <f t="shared" ref="M7:M38" si="3">G7-K7</f>
        <v>0</v>
      </c>
      <c r="N7" s="129">
        <f t="shared" ref="N7:N38" si="4">M7*60*365/1000000</f>
        <v>0</v>
      </c>
      <c r="O7" s="182">
        <f t="shared" ref="O7:O38" si="5">M7*110*365/1000000</f>
        <v>0</v>
      </c>
      <c r="P7" s="130">
        <f t="shared" ref="P7:P38" si="6">M7*70*365/1000000</f>
        <v>0</v>
      </c>
      <c r="Q7" s="130">
        <f t="shared" ref="Q7:Q38" si="7">M7*10*365/1000000</f>
        <v>0</v>
      </c>
      <c r="R7" s="130">
        <f t="shared" ref="R7:R38" si="8">M7*2*365/1000000</f>
        <v>0</v>
      </c>
      <c r="S7" s="130">
        <f t="shared" ref="S7:S38" si="9">M7*13*365/1000000*0.33</f>
        <v>0</v>
      </c>
      <c r="T7" s="130">
        <f t="shared" ref="T7:T38" si="10">M7*18*365/1000000*0.33</f>
        <v>0</v>
      </c>
      <c r="U7" s="130">
        <f t="shared" ref="U7:U38" si="11">M7*17*365/1000000*0.33</f>
        <v>0</v>
      </c>
      <c r="V7" s="130">
        <f t="shared" ref="V7:V38" si="12">M7*2.5*365/1000000*0.33</f>
        <v>0</v>
      </c>
      <c r="W7" s="130">
        <f t="shared" ref="W7:W38" si="13">M7*0.5*365/1000000*0.33</f>
        <v>0</v>
      </c>
      <c r="X7" s="130">
        <f t="shared" ref="X7:X38" si="14">M7*19*365/1000000*0.33</f>
        <v>0</v>
      </c>
      <c r="Y7" s="130">
        <f t="shared" ref="Y7:Y38" si="15">M7*26*365/1000000*0.33</f>
        <v>0</v>
      </c>
      <c r="Z7" s="130">
        <f t="shared" ref="Z7:Z38" si="16">M7*18*365/1000000*0.33</f>
        <v>0</v>
      </c>
      <c r="AA7" s="130">
        <f t="shared" ref="AA7:AA38" si="17">M7*0*365/1000000*0.33</f>
        <v>0</v>
      </c>
      <c r="AB7" s="130">
        <f t="shared" ref="AB7:AB38" si="18">M7*0*365/1000000*0.33</f>
        <v>0</v>
      </c>
      <c r="AC7" s="181">
        <f t="shared" ref="AC7:AC38" si="19">N7-S7-X7</f>
        <v>0</v>
      </c>
      <c r="AD7" s="181">
        <f t="shared" ref="AD7:AD38" si="20">O7-T7-Y7</f>
        <v>0</v>
      </c>
      <c r="AE7" s="181">
        <f t="shared" ref="AE7:AE38" si="21">P7-U7-Z7</f>
        <v>0</v>
      </c>
      <c r="AF7" s="181">
        <f t="shared" ref="AF7:AF38" si="22">Q7-V7-AA7</f>
        <v>0</v>
      </c>
      <c r="AG7" s="181">
        <f t="shared" ref="AG7:AG38" si="23">R7-W7-AB7</f>
        <v>0</v>
      </c>
      <c r="AH7" s="134">
        <f t="shared" ref="AH7:AH38" si="24">(K7+H7)*60*365/1000000</f>
        <v>2485.5843</v>
      </c>
      <c r="AI7" s="135">
        <f t="shared" ref="AI7:AI38" si="25">($K7+$H7)*110*365/1000000</f>
        <v>4556.9045500000002</v>
      </c>
      <c r="AJ7" s="135">
        <f t="shared" ref="AJ7:AJ38" si="26">($K7+$H7)*70*365/1000000</f>
        <v>2899.8483500000002</v>
      </c>
      <c r="AK7" s="135">
        <f t="shared" ref="AK7:AK38" si="27">($K7+$H7)*10*365/1000000</f>
        <v>414.26405</v>
      </c>
      <c r="AL7" s="135">
        <f t="shared" ref="AL7:AL38" si="28">($K7+$H7)*2*365/1000000</f>
        <v>82.852810000000005</v>
      </c>
      <c r="AM7" s="136">
        <v>0.9</v>
      </c>
      <c r="AN7" s="136">
        <v>0.75</v>
      </c>
      <c r="AO7" s="136">
        <v>0.9</v>
      </c>
      <c r="AP7" s="66">
        <v>0.8</v>
      </c>
      <c r="AQ7" s="66">
        <v>0.8</v>
      </c>
      <c r="AR7" s="135">
        <f t="shared" ref="AR7:AR38" si="29">(S7+AH7)*AM7</f>
        <v>2237.0258699999999</v>
      </c>
      <c r="AS7" s="135">
        <f t="shared" ref="AS7:AS38" si="30">(T7+AI7)*AN7</f>
        <v>3417.6784125000004</v>
      </c>
      <c r="AT7" s="135">
        <f t="shared" ref="AT7:AT38" si="31">(U7+AJ7)*AO7</f>
        <v>2609.8635150000005</v>
      </c>
      <c r="AU7" s="135">
        <f t="shared" ref="AU7:AU38" si="32">(V7+AK7)*AP7</f>
        <v>331.41124000000002</v>
      </c>
      <c r="AV7" s="135">
        <f t="shared" ref="AV7:AV38" si="33">(W7+AL7)*AQ7</f>
        <v>66.28224800000001</v>
      </c>
      <c r="AW7" s="135">
        <f t="shared" ref="AW7:AW38" si="34">S7+AH7-AR7</f>
        <v>248.55843000000004</v>
      </c>
      <c r="AX7" s="135">
        <f t="shared" ref="AX7:AX38" si="35">T7+AI7-AS7</f>
        <v>1139.2261374999998</v>
      </c>
      <c r="AY7" s="135">
        <f t="shared" ref="AY7:AY38" si="36">U7+AJ7-AT7</f>
        <v>289.98483499999975</v>
      </c>
      <c r="AZ7" s="135">
        <f t="shared" ref="AZ7:AZ38" si="37">V7+AK7-AU7</f>
        <v>82.852809999999977</v>
      </c>
      <c r="BA7" s="137">
        <f t="shared" ref="BA7:BA38" si="38">W7+AL7-AV7</f>
        <v>16.570561999999995</v>
      </c>
      <c r="BB7" s="143">
        <f t="shared" ref="BB7:BB38" si="39">N7+AH7</f>
        <v>2485.5843</v>
      </c>
      <c r="BC7" s="144">
        <f t="shared" ref="BC7:BC38" si="40">O7+AI7</f>
        <v>4556.9045500000002</v>
      </c>
      <c r="BD7" s="144">
        <f t="shared" ref="BD7:BD38" si="41">P7+AJ7</f>
        <v>2899.8483500000002</v>
      </c>
      <c r="BE7" s="285">
        <f t="shared" ref="BE7:BE38" si="42">Q7+AK7</f>
        <v>414.26405</v>
      </c>
      <c r="BF7" s="285">
        <f t="shared" ref="BF7:BF38" si="43">R7+AL7</f>
        <v>82.852810000000005</v>
      </c>
      <c r="BG7" s="144">
        <f t="shared" ref="BG7:BG38" si="44">AC7+AW7</f>
        <v>248.55843000000004</v>
      </c>
      <c r="BH7" s="144">
        <f t="shared" ref="BH7:BH38" si="45">AD7+AX7</f>
        <v>1139.2261374999998</v>
      </c>
      <c r="BI7" s="144">
        <f t="shared" ref="BI7:BI38" si="46">AE7+AY7</f>
        <v>289.98483499999975</v>
      </c>
      <c r="BJ7" s="285">
        <f t="shared" ref="BJ7:BJ38" si="47">AF7+AZ7</f>
        <v>82.852809999999977</v>
      </c>
      <c r="BK7" s="285">
        <f t="shared" ref="BK7:BK38" si="48">AG7+BA7</f>
        <v>16.570561999999995</v>
      </c>
      <c r="BL7" s="144">
        <f t="shared" ref="BL7:BL38" si="49">X7+AR7</f>
        <v>2237.0258699999999</v>
      </c>
      <c r="BM7" s="144">
        <f t="shared" ref="BM7:BM38" si="50">Y7+AS7</f>
        <v>3417.6784125000004</v>
      </c>
      <c r="BN7" s="144">
        <f t="shared" ref="BN7:BN38" si="51">Z7+AT7</f>
        <v>2609.8635150000005</v>
      </c>
      <c r="BO7" s="285">
        <f t="shared" ref="BO7:BO38" si="52">AA7+AU7</f>
        <v>331.41124000000002</v>
      </c>
      <c r="BP7" s="286">
        <f t="shared" ref="BP7:BP38" si="53">AB7+AV7</f>
        <v>66.28224800000001</v>
      </c>
      <c r="BQ7" s="33">
        <v>0</v>
      </c>
      <c r="BR7" s="8">
        <v>3685000</v>
      </c>
      <c r="BS7" t="s">
        <v>185</v>
      </c>
      <c r="BT7"/>
    </row>
    <row r="8" spans="1:78" x14ac:dyDescent="0.25">
      <c r="A8" s="52"/>
      <c r="B8" s="52">
        <v>7</v>
      </c>
      <c r="C8" s="53" t="s">
        <v>10</v>
      </c>
      <c r="D8" s="118">
        <v>31401</v>
      </c>
      <c r="E8" s="103" t="s">
        <v>131</v>
      </c>
      <c r="F8" s="36" t="s">
        <v>250</v>
      </c>
      <c r="G8" s="110">
        <v>29592</v>
      </c>
      <c r="H8" s="110">
        <v>4572</v>
      </c>
      <c r="I8" s="107">
        <f t="shared" si="0"/>
        <v>34164</v>
      </c>
      <c r="J8" s="98">
        <f t="shared" si="1"/>
        <v>0.94559340362260069</v>
      </c>
      <c r="K8" s="99">
        <v>27982</v>
      </c>
      <c r="L8" s="94">
        <f t="shared" si="2"/>
        <v>5.4406596377399294E-2</v>
      </c>
      <c r="M8" s="89">
        <f t="shared" si="3"/>
        <v>1610</v>
      </c>
      <c r="N8" s="91">
        <f t="shared" si="4"/>
        <v>35.259</v>
      </c>
      <c r="O8" s="182">
        <f t="shared" si="5"/>
        <v>64.641499999999994</v>
      </c>
      <c r="P8" s="130">
        <f t="shared" si="6"/>
        <v>41.1355</v>
      </c>
      <c r="Q8" s="130">
        <f t="shared" si="7"/>
        <v>5.8765000000000001</v>
      </c>
      <c r="R8" s="64">
        <f t="shared" si="8"/>
        <v>1.1753</v>
      </c>
      <c r="S8" s="130">
        <f t="shared" si="9"/>
        <v>2.5210185000000003</v>
      </c>
      <c r="T8" s="130">
        <f t="shared" si="10"/>
        <v>3.4906410000000001</v>
      </c>
      <c r="U8" s="130">
        <f t="shared" si="11"/>
        <v>3.2967165</v>
      </c>
      <c r="V8" s="130">
        <f t="shared" si="12"/>
        <v>0.48481125000000003</v>
      </c>
      <c r="W8" s="130">
        <f t="shared" si="13"/>
        <v>9.696225E-2</v>
      </c>
      <c r="X8" s="130">
        <f t="shared" si="14"/>
        <v>3.6845655000000002</v>
      </c>
      <c r="Y8" s="130">
        <f t="shared" si="15"/>
        <v>5.0420370000000005</v>
      </c>
      <c r="Z8" s="130">
        <f t="shared" si="16"/>
        <v>3.4906410000000001</v>
      </c>
      <c r="AA8" s="130">
        <f t="shared" si="17"/>
        <v>0</v>
      </c>
      <c r="AB8" s="130">
        <f t="shared" si="18"/>
        <v>0</v>
      </c>
      <c r="AC8" s="181">
        <f t="shared" si="19"/>
        <v>29.053416000000002</v>
      </c>
      <c r="AD8" s="181">
        <f t="shared" si="20"/>
        <v>56.108821999999996</v>
      </c>
      <c r="AE8" s="181">
        <f t="shared" si="21"/>
        <v>34.348142499999994</v>
      </c>
      <c r="AF8" s="181">
        <f t="shared" si="22"/>
        <v>5.3916887500000001</v>
      </c>
      <c r="AG8" s="181">
        <f t="shared" si="23"/>
        <v>1.07833775</v>
      </c>
      <c r="AH8" s="85">
        <f t="shared" si="24"/>
        <v>712.93259999999998</v>
      </c>
      <c r="AI8" s="135">
        <f t="shared" si="25"/>
        <v>1307.0431000000001</v>
      </c>
      <c r="AJ8" s="135">
        <f t="shared" si="26"/>
        <v>831.75469999999996</v>
      </c>
      <c r="AK8" s="135">
        <f t="shared" si="27"/>
        <v>118.82210000000001</v>
      </c>
      <c r="AL8" s="65">
        <f t="shared" si="28"/>
        <v>23.764420000000001</v>
      </c>
      <c r="AM8" s="66">
        <v>0.9</v>
      </c>
      <c r="AN8" s="66">
        <v>0.75</v>
      </c>
      <c r="AO8" s="66">
        <v>0.9</v>
      </c>
      <c r="AP8" s="66">
        <v>0.8</v>
      </c>
      <c r="AQ8" s="66">
        <v>0.8</v>
      </c>
      <c r="AR8" s="65">
        <f t="shared" si="29"/>
        <v>643.90825665</v>
      </c>
      <c r="AS8" s="65">
        <f t="shared" si="30"/>
        <v>982.90030575000014</v>
      </c>
      <c r="AT8" s="65">
        <f t="shared" si="31"/>
        <v>751.54627485000003</v>
      </c>
      <c r="AU8" s="65">
        <f t="shared" si="32"/>
        <v>95.445529000000022</v>
      </c>
      <c r="AV8" s="65">
        <f t="shared" si="33"/>
        <v>19.089105800000002</v>
      </c>
      <c r="AW8" s="65">
        <f t="shared" si="34"/>
        <v>71.545361849999949</v>
      </c>
      <c r="AX8" s="65">
        <f t="shared" si="35"/>
        <v>327.63343525000005</v>
      </c>
      <c r="AY8" s="65">
        <f t="shared" si="36"/>
        <v>83.505141649999928</v>
      </c>
      <c r="AZ8" s="65">
        <f t="shared" si="37"/>
        <v>23.861382249999991</v>
      </c>
      <c r="BA8" s="86">
        <f t="shared" si="38"/>
        <v>4.7722764499999997</v>
      </c>
      <c r="BB8" s="83">
        <f t="shared" si="39"/>
        <v>748.19159999999999</v>
      </c>
      <c r="BC8" s="67">
        <f t="shared" si="40"/>
        <v>1371.6846</v>
      </c>
      <c r="BD8" s="67">
        <f t="shared" si="41"/>
        <v>872.89019999999994</v>
      </c>
      <c r="BE8" s="68">
        <f t="shared" si="42"/>
        <v>124.6986</v>
      </c>
      <c r="BF8" s="68">
        <f t="shared" si="43"/>
        <v>24.939720000000001</v>
      </c>
      <c r="BG8" s="67">
        <f t="shared" si="44"/>
        <v>100.59877784999995</v>
      </c>
      <c r="BH8" s="67">
        <f t="shared" si="45"/>
        <v>383.74225725000002</v>
      </c>
      <c r="BI8" s="67">
        <f t="shared" si="46"/>
        <v>117.85328414999992</v>
      </c>
      <c r="BJ8" s="68">
        <f t="shared" si="47"/>
        <v>29.253070999999991</v>
      </c>
      <c r="BK8" s="68">
        <f t="shared" si="48"/>
        <v>5.8506141999999999</v>
      </c>
      <c r="BL8" s="67">
        <f t="shared" si="49"/>
        <v>647.59282214999996</v>
      </c>
      <c r="BM8" s="67">
        <f t="shared" si="50"/>
        <v>987.94234275000019</v>
      </c>
      <c r="BN8" s="67">
        <f t="shared" si="51"/>
        <v>755.03691585000001</v>
      </c>
      <c r="BO8" s="68">
        <f t="shared" si="52"/>
        <v>95.445529000000022</v>
      </c>
      <c r="BP8" s="76">
        <f t="shared" si="53"/>
        <v>19.089105800000002</v>
      </c>
      <c r="BQ8" s="33">
        <v>1724600</v>
      </c>
      <c r="BR8" s="8">
        <v>1538665</v>
      </c>
      <c r="BS8" t="s">
        <v>132</v>
      </c>
    </row>
    <row r="9" spans="1:78" x14ac:dyDescent="0.25">
      <c r="A9" s="52"/>
      <c r="B9" s="52">
        <v>9</v>
      </c>
      <c r="C9" s="53" t="s">
        <v>53</v>
      </c>
      <c r="D9" s="118">
        <v>25883</v>
      </c>
      <c r="E9" s="103" t="s">
        <v>11</v>
      </c>
      <c r="F9" s="36" t="s">
        <v>250</v>
      </c>
      <c r="G9" s="110">
        <v>23232</v>
      </c>
      <c r="H9" s="110">
        <v>1465</v>
      </c>
      <c r="I9" s="107">
        <f t="shared" si="0"/>
        <v>24697</v>
      </c>
      <c r="J9" s="98">
        <f t="shared" si="1"/>
        <v>0.9976325757575758</v>
      </c>
      <c r="K9" s="99">
        <v>23177</v>
      </c>
      <c r="L9" s="94">
        <f t="shared" si="2"/>
        <v>2.3674242424242425E-3</v>
      </c>
      <c r="M9" s="89">
        <f t="shared" si="3"/>
        <v>55</v>
      </c>
      <c r="N9" s="91">
        <f t="shared" si="4"/>
        <v>1.2044999999999999</v>
      </c>
      <c r="O9" s="182">
        <f t="shared" si="5"/>
        <v>2.20825</v>
      </c>
      <c r="P9" s="130">
        <f t="shared" si="6"/>
        <v>1.4052500000000001</v>
      </c>
      <c r="Q9" s="130">
        <f t="shared" si="7"/>
        <v>0.20075000000000001</v>
      </c>
      <c r="R9" s="64">
        <f t="shared" si="8"/>
        <v>4.0149999999999998E-2</v>
      </c>
      <c r="S9" s="130">
        <f t="shared" si="9"/>
        <v>8.6121750000000011E-2</v>
      </c>
      <c r="T9" s="130">
        <f t="shared" si="10"/>
        <v>0.1192455</v>
      </c>
      <c r="U9" s="130">
        <f t="shared" si="11"/>
        <v>0.11262075000000001</v>
      </c>
      <c r="V9" s="130">
        <f t="shared" si="12"/>
        <v>1.6561875E-2</v>
      </c>
      <c r="W9" s="130">
        <f t="shared" si="13"/>
        <v>3.3123750000000002E-3</v>
      </c>
      <c r="X9" s="130">
        <f t="shared" si="14"/>
        <v>0.12587025000000002</v>
      </c>
      <c r="Y9" s="130">
        <f t="shared" si="15"/>
        <v>0.17224350000000002</v>
      </c>
      <c r="Z9" s="130">
        <f t="shared" si="16"/>
        <v>0.1192455</v>
      </c>
      <c r="AA9" s="130">
        <f t="shared" si="17"/>
        <v>0</v>
      </c>
      <c r="AB9" s="130">
        <f t="shared" si="18"/>
        <v>0</v>
      </c>
      <c r="AC9" s="181">
        <f t="shared" si="19"/>
        <v>0.99250799999999995</v>
      </c>
      <c r="AD9" s="181">
        <f t="shared" si="20"/>
        <v>1.9167610000000002</v>
      </c>
      <c r="AE9" s="181">
        <f t="shared" si="21"/>
        <v>1.1733837500000002</v>
      </c>
      <c r="AF9" s="181">
        <f t="shared" si="22"/>
        <v>0.18418812500000001</v>
      </c>
      <c r="AG9" s="181">
        <f t="shared" si="23"/>
        <v>3.6837624999999999E-2</v>
      </c>
      <c r="AH9" s="85">
        <f t="shared" si="24"/>
        <v>539.65980000000002</v>
      </c>
      <c r="AI9" s="135">
        <f t="shared" si="25"/>
        <v>989.37630000000001</v>
      </c>
      <c r="AJ9" s="135">
        <f t="shared" si="26"/>
        <v>629.60310000000004</v>
      </c>
      <c r="AK9" s="135">
        <f t="shared" si="27"/>
        <v>89.943299999999994</v>
      </c>
      <c r="AL9" s="65">
        <f t="shared" si="28"/>
        <v>17.988659999999999</v>
      </c>
      <c r="AM9" s="66">
        <v>0.9</v>
      </c>
      <c r="AN9" s="66">
        <v>0.75</v>
      </c>
      <c r="AO9" s="66">
        <v>0.9</v>
      </c>
      <c r="AP9" s="66">
        <v>0.8</v>
      </c>
      <c r="AQ9" s="66">
        <v>0.8</v>
      </c>
      <c r="AR9" s="65">
        <f t="shared" si="29"/>
        <v>485.77132957499998</v>
      </c>
      <c r="AS9" s="65">
        <f t="shared" si="30"/>
        <v>742.12165912500006</v>
      </c>
      <c r="AT9" s="65">
        <f t="shared" si="31"/>
        <v>566.74414867500002</v>
      </c>
      <c r="AU9" s="65">
        <f t="shared" si="32"/>
        <v>71.967889499999998</v>
      </c>
      <c r="AV9" s="65">
        <f t="shared" si="33"/>
        <v>14.3935779</v>
      </c>
      <c r="AW9" s="65">
        <f t="shared" si="34"/>
        <v>53.974592174999998</v>
      </c>
      <c r="AX9" s="65">
        <f t="shared" si="35"/>
        <v>247.37388637499998</v>
      </c>
      <c r="AY9" s="65">
        <f t="shared" si="36"/>
        <v>62.97157207500004</v>
      </c>
      <c r="AZ9" s="65">
        <f t="shared" si="37"/>
        <v>17.991972374999989</v>
      </c>
      <c r="BA9" s="86">
        <f t="shared" si="38"/>
        <v>3.5983944749999992</v>
      </c>
      <c r="BB9" s="83">
        <f t="shared" si="39"/>
        <v>540.86430000000007</v>
      </c>
      <c r="BC9" s="67">
        <f t="shared" si="40"/>
        <v>991.58455000000004</v>
      </c>
      <c r="BD9" s="67">
        <f t="shared" si="41"/>
        <v>631.00835000000006</v>
      </c>
      <c r="BE9" s="68">
        <f t="shared" si="42"/>
        <v>90.144049999999993</v>
      </c>
      <c r="BF9" s="68">
        <f t="shared" si="43"/>
        <v>18.02881</v>
      </c>
      <c r="BG9" s="67">
        <f t="shared" si="44"/>
        <v>54.967100174999999</v>
      </c>
      <c r="BH9" s="67">
        <f t="shared" si="45"/>
        <v>249.29064737499999</v>
      </c>
      <c r="BI9" s="67">
        <f t="shared" si="46"/>
        <v>64.144955825000039</v>
      </c>
      <c r="BJ9" s="68">
        <f t="shared" si="47"/>
        <v>18.176160499999988</v>
      </c>
      <c r="BK9" s="68">
        <f t="shared" si="48"/>
        <v>3.6352320999999992</v>
      </c>
      <c r="BL9" s="67">
        <f t="shared" si="49"/>
        <v>485.89719982499997</v>
      </c>
      <c r="BM9" s="67">
        <f t="shared" si="50"/>
        <v>742.2939026250001</v>
      </c>
      <c r="BN9" s="67">
        <f t="shared" si="51"/>
        <v>566.86339417500005</v>
      </c>
      <c r="BO9" s="68">
        <f t="shared" si="52"/>
        <v>71.967889499999998</v>
      </c>
      <c r="BP9" s="76">
        <f t="shared" si="53"/>
        <v>14.3935779</v>
      </c>
      <c r="BQ9" s="33">
        <v>105676</v>
      </c>
      <c r="BR9" s="8">
        <v>0</v>
      </c>
      <c r="BS9" t="s">
        <v>188</v>
      </c>
    </row>
    <row r="10" spans="1:78" x14ac:dyDescent="0.25">
      <c r="A10" s="52"/>
      <c r="B10" s="52">
        <v>10</v>
      </c>
      <c r="C10" s="53" t="s">
        <v>52</v>
      </c>
      <c r="D10" s="118">
        <v>24931</v>
      </c>
      <c r="E10" s="103" t="s">
        <v>11</v>
      </c>
      <c r="F10" s="36" t="s">
        <v>250</v>
      </c>
      <c r="G10" s="110">
        <v>24581</v>
      </c>
      <c r="H10" s="110">
        <v>1681</v>
      </c>
      <c r="I10" s="107">
        <f t="shared" si="0"/>
        <v>26262</v>
      </c>
      <c r="J10" s="98">
        <f t="shared" si="1"/>
        <v>0.84028314551889671</v>
      </c>
      <c r="K10" s="99">
        <v>20655</v>
      </c>
      <c r="L10" s="94">
        <f t="shared" si="2"/>
        <v>0.15971685448110329</v>
      </c>
      <c r="M10" s="89">
        <f t="shared" si="3"/>
        <v>3926</v>
      </c>
      <c r="N10" s="91">
        <f t="shared" si="4"/>
        <v>85.979399999999998</v>
      </c>
      <c r="O10" s="182">
        <f t="shared" si="5"/>
        <v>157.62889999999999</v>
      </c>
      <c r="P10" s="130">
        <f t="shared" si="6"/>
        <v>100.30929999999999</v>
      </c>
      <c r="Q10" s="130">
        <f t="shared" si="7"/>
        <v>14.3299</v>
      </c>
      <c r="R10" s="64">
        <f t="shared" si="8"/>
        <v>2.86598</v>
      </c>
      <c r="S10" s="130">
        <f t="shared" si="9"/>
        <v>6.1475270999999996</v>
      </c>
      <c r="T10" s="130">
        <f t="shared" si="10"/>
        <v>8.5119606000000001</v>
      </c>
      <c r="U10" s="130">
        <f t="shared" si="11"/>
        <v>8.0390739</v>
      </c>
      <c r="V10" s="130">
        <f t="shared" si="12"/>
        <v>1.18221675</v>
      </c>
      <c r="W10" s="130">
        <f t="shared" si="13"/>
        <v>0.23644335</v>
      </c>
      <c r="X10" s="130">
        <f t="shared" si="14"/>
        <v>8.9848473000000002</v>
      </c>
      <c r="Y10" s="130">
        <f t="shared" si="15"/>
        <v>12.295054199999999</v>
      </c>
      <c r="Z10" s="130">
        <f t="shared" si="16"/>
        <v>8.5119606000000001</v>
      </c>
      <c r="AA10" s="130">
        <f t="shared" si="17"/>
        <v>0</v>
      </c>
      <c r="AB10" s="130">
        <f t="shared" si="18"/>
        <v>0</v>
      </c>
      <c r="AC10" s="181">
        <f t="shared" si="19"/>
        <v>70.847025599999995</v>
      </c>
      <c r="AD10" s="181">
        <f t="shared" si="20"/>
        <v>136.82188519999997</v>
      </c>
      <c r="AE10" s="181">
        <f t="shared" si="21"/>
        <v>83.758265499999993</v>
      </c>
      <c r="AF10" s="181">
        <f t="shared" si="22"/>
        <v>13.14768325</v>
      </c>
      <c r="AG10" s="181">
        <f t="shared" si="23"/>
        <v>2.6295366499999999</v>
      </c>
      <c r="AH10" s="85">
        <f t="shared" si="24"/>
        <v>489.15839999999997</v>
      </c>
      <c r="AI10" s="135">
        <f t="shared" si="25"/>
        <v>896.79039999999998</v>
      </c>
      <c r="AJ10" s="135">
        <f t="shared" si="26"/>
        <v>570.6848</v>
      </c>
      <c r="AK10" s="135">
        <f t="shared" si="27"/>
        <v>81.526399999999995</v>
      </c>
      <c r="AL10" s="65">
        <f t="shared" si="28"/>
        <v>16.30528</v>
      </c>
      <c r="AM10" s="66">
        <v>0.9</v>
      </c>
      <c r="AN10" s="66">
        <v>0.75</v>
      </c>
      <c r="AO10" s="66">
        <v>0.9</v>
      </c>
      <c r="AP10" s="66">
        <v>0.8</v>
      </c>
      <c r="AQ10" s="66">
        <v>0.8</v>
      </c>
      <c r="AR10" s="65">
        <f t="shared" si="29"/>
        <v>445.77533438999995</v>
      </c>
      <c r="AS10" s="65">
        <f t="shared" si="30"/>
        <v>678.97677045</v>
      </c>
      <c r="AT10" s="65">
        <f t="shared" si="31"/>
        <v>520.85148650999997</v>
      </c>
      <c r="AU10" s="65">
        <f t="shared" si="32"/>
        <v>66.166893399999992</v>
      </c>
      <c r="AV10" s="65">
        <f t="shared" si="33"/>
        <v>13.23337868</v>
      </c>
      <c r="AW10" s="65">
        <f t="shared" si="34"/>
        <v>49.530592710000008</v>
      </c>
      <c r="AX10" s="65">
        <f t="shared" si="35"/>
        <v>226.32559014999993</v>
      </c>
      <c r="AY10" s="65">
        <f t="shared" si="36"/>
        <v>57.872387389999972</v>
      </c>
      <c r="AZ10" s="65">
        <f t="shared" si="37"/>
        <v>16.541723349999998</v>
      </c>
      <c r="BA10" s="86">
        <f t="shared" si="38"/>
        <v>3.3083446699999985</v>
      </c>
      <c r="BB10" s="83">
        <f t="shared" si="39"/>
        <v>575.13779999999997</v>
      </c>
      <c r="BC10" s="67">
        <f t="shared" si="40"/>
        <v>1054.4193</v>
      </c>
      <c r="BD10" s="67">
        <f t="shared" si="41"/>
        <v>670.9941</v>
      </c>
      <c r="BE10" s="68">
        <f t="shared" si="42"/>
        <v>95.85629999999999</v>
      </c>
      <c r="BF10" s="68">
        <f t="shared" si="43"/>
        <v>19.17126</v>
      </c>
      <c r="BG10" s="67">
        <f t="shared" si="44"/>
        <v>120.37761831</v>
      </c>
      <c r="BH10" s="67">
        <f t="shared" si="45"/>
        <v>363.14747534999992</v>
      </c>
      <c r="BI10" s="67">
        <f t="shared" si="46"/>
        <v>141.63065288999996</v>
      </c>
      <c r="BJ10" s="68">
        <f t="shared" si="47"/>
        <v>29.689406599999998</v>
      </c>
      <c r="BK10" s="68">
        <f t="shared" si="48"/>
        <v>5.9378813199999989</v>
      </c>
      <c r="BL10" s="67">
        <f t="shared" si="49"/>
        <v>454.76018168999997</v>
      </c>
      <c r="BM10" s="67">
        <f t="shared" si="50"/>
        <v>691.27182464999999</v>
      </c>
      <c r="BN10" s="67">
        <f t="shared" si="51"/>
        <v>529.36344710999992</v>
      </c>
      <c r="BO10" s="68">
        <f t="shared" si="52"/>
        <v>66.166893399999992</v>
      </c>
      <c r="BP10" s="76">
        <f t="shared" si="53"/>
        <v>13.23337868</v>
      </c>
      <c r="BQ10" s="33">
        <v>2598025</v>
      </c>
      <c r="BR10" s="8">
        <v>0</v>
      </c>
      <c r="BS10" t="s">
        <v>188</v>
      </c>
    </row>
    <row r="11" spans="1:78" ht="45" x14ac:dyDescent="0.25">
      <c r="A11" s="52"/>
      <c r="B11" s="52">
        <v>12</v>
      </c>
      <c r="C11" s="53" t="s">
        <v>55</v>
      </c>
      <c r="D11" s="118">
        <v>16854</v>
      </c>
      <c r="E11" s="115" t="s">
        <v>189</v>
      </c>
      <c r="F11" s="40" t="s">
        <v>250</v>
      </c>
      <c r="G11" s="110">
        <v>20394</v>
      </c>
      <c r="H11" s="110">
        <v>2410</v>
      </c>
      <c r="I11" s="107">
        <f t="shared" si="0"/>
        <v>22804</v>
      </c>
      <c r="J11" s="98">
        <f t="shared" si="1"/>
        <v>0.95866431303324506</v>
      </c>
      <c r="K11" s="99">
        <v>19551</v>
      </c>
      <c r="L11" s="94">
        <f t="shared" si="2"/>
        <v>4.133568696675493E-2</v>
      </c>
      <c r="M11" s="89">
        <f t="shared" si="3"/>
        <v>843</v>
      </c>
      <c r="N11" s="91">
        <f t="shared" si="4"/>
        <v>18.4617</v>
      </c>
      <c r="O11" s="182">
        <f t="shared" si="5"/>
        <v>33.846449999999997</v>
      </c>
      <c r="P11" s="130">
        <f t="shared" si="6"/>
        <v>21.538650000000001</v>
      </c>
      <c r="Q11" s="130">
        <f t="shared" si="7"/>
        <v>3.0769500000000001</v>
      </c>
      <c r="R11" s="64">
        <f t="shared" si="8"/>
        <v>0.61538999999999999</v>
      </c>
      <c r="S11" s="130">
        <f t="shared" si="9"/>
        <v>1.3200115499999998</v>
      </c>
      <c r="T11" s="130">
        <f t="shared" si="10"/>
        <v>1.8277083000000001</v>
      </c>
      <c r="U11" s="130">
        <f t="shared" si="11"/>
        <v>1.7261689499999999</v>
      </c>
      <c r="V11" s="130">
        <f t="shared" si="12"/>
        <v>0.25384837500000001</v>
      </c>
      <c r="W11" s="130">
        <f t="shared" si="13"/>
        <v>5.0769675E-2</v>
      </c>
      <c r="X11" s="130">
        <f t="shared" si="14"/>
        <v>1.9292476500000002</v>
      </c>
      <c r="Y11" s="130">
        <f t="shared" si="15"/>
        <v>2.6400230999999996</v>
      </c>
      <c r="Z11" s="130">
        <f t="shared" si="16"/>
        <v>1.8277083000000001</v>
      </c>
      <c r="AA11" s="130">
        <f t="shared" si="17"/>
        <v>0</v>
      </c>
      <c r="AB11" s="130">
        <f t="shared" si="18"/>
        <v>0</v>
      </c>
      <c r="AC11" s="181">
        <f t="shared" si="19"/>
        <v>15.2124408</v>
      </c>
      <c r="AD11" s="181">
        <f t="shared" si="20"/>
        <v>29.378718599999999</v>
      </c>
      <c r="AE11" s="181">
        <f t="shared" si="21"/>
        <v>17.984772750000001</v>
      </c>
      <c r="AF11" s="181">
        <f t="shared" si="22"/>
        <v>2.8231016250000001</v>
      </c>
      <c r="AG11" s="181">
        <f t="shared" si="23"/>
        <v>0.56462032500000003</v>
      </c>
      <c r="AH11" s="85">
        <f t="shared" si="24"/>
        <v>480.94589999999999</v>
      </c>
      <c r="AI11" s="135">
        <f t="shared" si="25"/>
        <v>881.73415</v>
      </c>
      <c r="AJ11" s="135">
        <f t="shared" si="26"/>
        <v>561.10355000000004</v>
      </c>
      <c r="AK11" s="135">
        <f t="shared" si="27"/>
        <v>80.157650000000004</v>
      </c>
      <c r="AL11" s="65">
        <f t="shared" si="28"/>
        <v>16.03153</v>
      </c>
      <c r="AM11" s="66">
        <v>0.9</v>
      </c>
      <c r="AN11" s="66">
        <v>0.75</v>
      </c>
      <c r="AO11" s="66">
        <v>0.9</v>
      </c>
      <c r="AP11" s="66">
        <v>0.8</v>
      </c>
      <c r="AQ11" s="66">
        <v>0.8</v>
      </c>
      <c r="AR11" s="65">
        <f t="shared" si="29"/>
        <v>434.039320395</v>
      </c>
      <c r="AS11" s="65">
        <f t="shared" si="30"/>
        <v>662.67139372500003</v>
      </c>
      <c r="AT11" s="65">
        <f t="shared" si="31"/>
        <v>506.54674705500003</v>
      </c>
      <c r="AU11" s="65">
        <f t="shared" si="32"/>
        <v>64.329198700000006</v>
      </c>
      <c r="AV11" s="65">
        <f t="shared" si="33"/>
        <v>12.865839740000002</v>
      </c>
      <c r="AW11" s="65">
        <f t="shared" si="34"/>
        <v>48.226591154999994</v>
      </c>
      <c r="AX11" s="65">
        <f t="shared" si="35"/>
        <v>220.89046457500001</v>
      </c>
      <c r="AY11" s="65">
        <f t="shared" si="36"/>
        <v>56.282971895000003</v>
      </c>
      <c r="AZ11" s="65">
        <f t="shared" si="37"/>
        <v>16.082299675000002</v>
      </c>
      <c r="BA11" s="86">
        <f t="shared" si="38"/>
        <v>3.2164599349999996</v>
      </c>
      <c r="BB11" s="83">
        <f t="shared" si="39"/>
        <v>499.4076</v>
      </c>
      <c r="BC11" s="67">
        <f t="shared" si="40"/>
        <v>915.5806</v>
      </c>
      <c r="BD11" s="67">
        <f t="shared" si="41"/>
        <v>582.6422</v>
      </c>
      <c r="BE11" s="68">
        <f t="shared" si="42"/>
        <v>83.2346</v>
      </c>
      <c r="BF11" s="68">
        <f t="shared" si="43"/>
        <v>16.646920000000001</v>
      </c>
      <c r="BG11" s="67">
        <f t="shared" si="44"/>
        <v>63.43903195499999</v>
      </c>
      <c r="BH11" s="67">
        <f t="shared" si="45"/>
        <v>250.26918317500002</v>
      </c>
      <c r="BI11" s="67">
        <f t="shared" si="46"/>
        <v>74.267744645000008</v>
      </c>
      <c r="BJ11" s="68">
        <f t="shared" si="47"/>
        <v>18.905401300000001</v>
      </c>
      <c r="BK11" s="68">
        <f t="shared" si="48"/>
        <v>3.7810802599999995</v>
      </c>
      <c r="BL11" s="67">
        <f t="shared" si="49"/>
        <v>435.96856804499998</v>
      </c>
      <c r="BM11" s="67">
        <f t="shared" si="50"/>
        <v>665.31141682500004</v>
      </c>
      <c r="BN11" s="67">
        <f t="shared" si="51"/>
        <v>508.37445535500001</v>
      </c>
      <c r="BO11" s="68">
        <f t="shared" si="52"/>
        <v>64.329198700000006</v>
      </c>
      <c r="BP11" s="76">
        <f t="shared" si="53"/>
        <v>12.865839740000002</v>
      </c>
      <c r="BQ11" s="33">
        <v>642655</v>
      </c>
      <c r="BR11" s="8">
        <v>1802080</v>
      </c>
      <c r="BS11" t="s">
        <v>133</v>
      </c>
    </row>
    <row r="12" spans="1:78" x14ac:dyDescent="0.25">
      <c r="A12" s="52"/>
      <c r="B12" s="52">
        <v>22</v>
      </c>
      <c r="C12" s="53" t="s">
        <v>65</v>
      </c>
      <c r="D12" s="118">
        <v>8887</v>
      </c>
      <c r="E12" s="103" t="s">
        <v>11</v>
      </c>
      <c r="F12" s="36" t="s">
        <v>250</v>
      </c>
      <c r="G12" s="110">
        <v>9921</v>
      </c>
      <c r="H12" s="110">
        <v>232</v>
      </c>
      <c r="I12" s="107">
        <f t="shared" si="0"/>
        <v>10153</v>
      </c>
      <c r="J12" s="98">
        <f t="shared" si="1"/>
        <v>0.98790444511641973</v>
      </c>
      <c r="K12" s="99">
        <v>9801</v>
      </c>
      <c r="L12" s="94">
        <f t="shared" si="2"/>
        <v>1.2095554883580285E-2</v>
      </c>
      <c r="M12" s="89">
        <f t="shared" si="3"/>
        <v>120</v>
      </c>
      <c r="N12" s="91">
        <f t="shared" si="4"/>
        <v>2.6280000000000001</v>
      </c>
      <c r="O12" s="182">
        <f t="shared" si="5"/>
        <v>4.8179999999999996</v>
      </c>
      <c r="P12" s="130">
        <f t="shared" si="6"/>
        <v>3.0659999999999998</v>
      </c>
      <c r="Q12" s="130">
        <f t="shared" si="7"/>
        <v>0.438</v>
      </c>
      <c r="R12" s="64">
        <f t="shared" si="8"/>
        <v>8.7599999999999997E-2</v>
      </c>
      <c r="S12" s="130">
        <f t="shared" si="9"/>
        <v>0.18790200000000001</v>
      </c>
      <c r="T12" s="130">
        <f t="shared" si="10"/>
        <v>0.26017200000000001</v>
      </c>
      <c r="U12" s="130">
        <f t="shared" si="11"/>
        <v>0.24571800000000002</v>
      </c>
      <c r="V12" s="130">
        <f t="shared" si="12"/>
        <v>3.6135E-2</v>
      </c>
      <c r="W12" s="130">
        <f t="shared" si="13"/>
        <v>7.2269999999999999E-3</v>
      </c>
      <c r="X12" s="130">
        <f t="shared" si="14"/>
        <v>0.27462600000000004</v>
      </c>
      <c r="Y12" s="130">
        <f t="shared" si="15"/>
        <v>0.37580400000000003</v>
      </c>
      <c r="Z12" s="130">
        <f t="shared" si="16"/>
        <v>0.26017200000000001</v>
      </c>
      <c r="AA12" s="130">
        <f t="shared" si="17"/>
        <v>0</v>
      </c>
      <c r="AB12" s="130">
        <f t="shared" si="18"/>
        <v>0</v>
      </c>
      <c r="AC12" s="181">
        <f t="shared" si="19"/>
        <v>2.1654719999999998</v>
      </c>
      <c r="AD12" s="181">
        <f t="shared" si="20"/>
        <v>4.1820240000000002</v>
      </c>
      <c r="AE12" s="181">
        <f t="shared" si="21"/>
        <v>2.5601099999999999</v>
      </c>
      <c r="AF12" s="181">
        <f t="shared" si="22"/>
        <v>0.40186500000000003</v>
      </c>
      <c r="AG12" s="181">
        <f t="shared" si="23"/>
        <v>8.0373E-2</v>
      </c>
      <c r="AH12" s="85">
        <f t="shared" si="24"/>
        <v>219.7227</v>
      </c>
      <c r="AI12" s="135">
        <f t="shared" si="25"/>
        <v>402.82495</v>
      </c>
      <c r="AJ12" s="135">
        <f t="shared" si="26"/>
        <v>256.34314999999998</v>
      </c>
      <c r="AK12" s="135">
        <f t="shared" si="27"/>
        <v>36.620449999999998</v>
      </c>
      <c r="AL12" s="65">
        <f t="shared" si="28"/>
        <v>7.32409</v>
      </c>
      <c r="AM12" s="66">
        <v>0.9</v>
      </c>
      <c r="AN12" s="66">
        <v>0.75</v>
      </c>
      <c r="AO12" s="66">
        <v>0.9</v>
      </c>
      <c r="AP12" s="66">
        <v>0.8</v>
      </c>
      <c r="AQ12" s="66">
        <v>0.8</v>
      </c>
      <c r="AR12" s="65">
        <f t="shared" si="29"/>
        <v>197.91954180000002</v>
      </c>
      <c r="AS12" s="65">
        <f t="shared" si="30"/>
        <v>302.31384150000002</v>
      </c>
      <c r="AT12" s="65">
        <f t="shared" si="31"/>
        <v>230.92998119999999</v>
      </c>
      <c r="AU12" s="65">
        <f t="shared" si="32"/>
        <v>29.325268000000001</v>
      </c>
      <c r="AV12" s="65">
        <f t="shared" si="33"/>
        <v>5.8650536000000004</v>
      </c>
      <c r="AW12" s="65">
        <f t="shared" si="34"/>
        <v>21.991060199999993</v>
      </c>
      <c r="AX12" s="65">
        <f t="shared" si="35"/>
        <v>100.77128049999999</v>
      </c>
      <c r="AY12" s="65">
        <f t="shared" si="36"/>
        <v>25.658886800000005</v>
      </c>
      <c r="AZ12" s="65">
        <f t="shared" si="37"/>
        <v>7.3313169999999985</v>
      </c>
      <c r="BA12" s="86">
        <f t="shared" si="38"/>
        <v>1.4662633999999999</v>
      </c>
      <c r="BB12" s="83">
        <f t="shared" si="39"/>
        <v>222.35070000000002</v>
      </c>
      <c r="BC12" s="67">
        <f t="shared" si="40"/>
        <v>407.64294999999998</v>
      </c>
      <c r="BD12" s="67">
        <f t="shared" si="41"/>
        <v>259.40914999999995</v>
      </c>
      <c r="BE12" s="68">
        <f t="shared" si="42"/>
        <v>37.058450000000001</v>
      </c>
      <c r="BF12" s="68">
        <f t="shared" si="43"/>
        <v>7.4116900000000001</v>
      </c>
      <c r="BG12" s="67">
        <f t="shared" si="44"/>
        <v>24.156532199999994</v>
      </c>
      <c r="BH12" s="67">
        <f t="shared" si="45"/>
        <v>104.95330449999999</v>
      </c>
      <c r="BI12" s="67">
        <f t="shared" si="46"/>
        <v>28.218996800000006</v>
      </c>
      <c r="BJ12" s="68">
        <f t="shared" si="47"/>
        <v>7.7331819999999984</v>
      </c>
      <c r="BK12" s="68">
        <f t="shared" si="48"/>
        <v>1.5466363999999999</v>
      </c>
      <c r="BL12" s="67">
        <f t="shared" si="49"/>
        <v>198.19416780000003</v>
      </c>
      <c r="BM12" s="67">
        <f t="shared" si="50"/>
        <v>302.68964550000004</v>
      </c>
      <c r="BN12" s="67">
        <f t="shared" si="51"/>
        <v>231.1901532</v>
      </c>
      <c r="BO12" s="68">
        <f t="shared" si="52"/>
        <v>29.325268000000001</v>
      </c>
      <c r="BP12" s="76">
        <f t="shared" si="53"/>
        <v>5.8650536000000004</v>
      </c>
      <c r="BQ12" s="33">
        <v>309101</v>
      </c>
      <c r="BR12" s="8">
        <v>1140163</v>
      </c>
      <c r="BS12" t="s">
        <v>129</v>
      </c>
    </row>
    <row r="13" spans="1:78" ht="60" x14ac:dyDescent="0.25">
      <c r="A13" s="52"/>
      <c r="B13" s="52">
        <v>23</v>
      </c>
      <c r="C13" s="53" t="s">
        <v>66</v>
      </c>
      <c r="D13" s="118">
        <v>8715</v>
      </c>
      <c r="E13" s="115" t="s">
        <v>194</v>
      </c>
      <c r="F13" s="40" t="s">
        <v>250</v>
      </c>
      <c r="G13" s="110">
        <v>9262</v>
      </c>
      <c r="H13" s="110">
        <v>960</v>
      </c>
      <c r="I13" s="107">
        <f t="shared" si="0"/>
        <v>10222</v>
      </c>
      <c r="J13" s="98">
        <f t="shared" si="1"/>
        <v>0.85672640898294106</v>
      </c>
      <c r="K13" s="99">
        <v>7935</v>
      </c>
      <c r="L13" s="94">
        <f t="shared" si="2"/>
        <v>0.14327359101705894</v>
      </c>
      <c r="M13" s="89">
        <f t="shared" si="3"/>
        <v>1327</v>
      </c>
      <c r="N13" s="91">
        <f t="shared" si="4"/>
        <v>29.061299999999999</v>
      </c>
      <c r="O13" s="182">
        <f t="shared" si="5"/>
        <v>53.279049999999998</v>
      </c>
      <c r="P13" s="130">
        <f t="shared" si="6"/>
        <v>33.904850000000003</v>
      </c>
      <c r="Q13" s="130">
        <f t="shared" si="7"/>
        <v>4.8435499999999996</v>
      </c>
      <c r="R13" s="64">
        <f t="shared" si="8"/>
        <v>0.96870999999999996</v>
      </c>
      <c r="S13" s="130">
        <f t="shared" si="9"/>
        <v>2.0778829500000002</v>
      </c>
      <c r="T13" s="130">
        <f t="shared" si="10"/>
        <v>2.8770687000000001</v>
      </c>
      <c r="U13" s="130">
        <f t="shared" si="11"/>
        <v>2.7172315500000002</v>
      </c>
      <c r="V13" s="130">
        <f t="shared" si="12"/>
        <v>0.39959287499999996</v>
      </c>
      <c r="W13" s="130">
        <f t="shared" si="13"/>
        <v>7.9918575000000006E-2</v>
      </c>
      <c r="X13" s="130">
        <f t="shared" si="14"/>
        <v>3.0369058500000001</v>
      </c>
      <c r="Y13" s="130">
        <f t="shared" si="15"/>
        <v>4.1557659000000005</v>
      </c>
      <c r="Z13" s="130">
        <f t="shared" si="16"/>
        <v>2.8770687000000001</v>
      </c>
      <c r="AA13" s="130">
        <f t="shared" si="17"/>
        <v>0</v>
      </c>
      <c r="AB13" s="130">
        <f t="shared" si="18"/>
        <v>0</v>
      </c>
      <c r="AC13" s="181">
        <f t="shared" si="19"/>
        <v>23.9465112</v>
      </c>
      <c r="AD13" s="181">
        <f t="shared" si="20"/>
        <v>46.246215399999997</v>
      </c>
      <c r="AE13" s="181">
        <f t="shared" si="21"/>
        <v>28.310549750000003</v>
      </c>
      <c r="AF13" s="181">
        <f t="shared" si="22"/>
        <v>4.4439571249999998</v>
      </c>
      <c r="AG13" s="181">
        <f t="shared" si="23"/>
        <v>0.88879142499999997</v>
      </c>
      <c r="AH13" s="85">
        <f t="shared" si="24"/>
        <v>194.8005</v>
      </c>
      <c r="AI13" s="135">
        <f t="shared" si="25"/>
        <v>357.13425000000001</v>
      </c>
      <c r="AJ13" s="135">
        <f t="shared" si="26"/>
        <v>227.26724999999999</v>
      </c>
      <c r="AK13" s="135">
        <f t="shared" si="27"/>
        <v>32.466749999999998</v>
      </c>
      <c r="AL13" s="65">
        <f t="shared" si="28"/>
        <v>6.4933500000000004</v>
      </c>
      <c r="AM13" s="66">
        <v>0.9</v>
      </c>
      <c r="AN13" s="66">
        <v>0.75</v>
      </c>
      <c r="AO13" s="66">
        <v>0.9</v>
      </c>
      <c r="AP13" s="66">
        <v>0.8</v>
      </c>
      <c r="AQ13" s="66">
        <v>0.8</v>
      </c>
      <c r="AR13" s="65">
        <f t="shared" si="29"/>
        <v>177.190544655</v>
      </c>
      <c r="AS13" s="65">
        <f t="shared" si="30"/>
        <v>270.00848902500002</v>
      </c>
      <c r="AT13" s="65">
        <f t="shared" si="31"/>
        <v>206.98603339499999</v>
      </c>
      <c r="AU13" s="65">
        <f t="shared" si="32"/>
        <v>26.293074300000001</v>
      </c>
      <c r="AV13" s="65">
        <f t="shared" si="33"/>
        <v>5.2586148600000007</v>
      </c>
      <c r="AW13" s="65">
        <f t="shared" si="34"/>
        <v>19.687838295000006</v>
      </c>
      <c r="AX13" s="65">
        <f t="shared" si="35"/>
        <v>90.002829674999987</v>
      </c>
      <c r="AY13" s="65">
        <f t="shared" si="36"/>
        <v>22.998448155000005</v>
      </c>
      <c r="AZ13" s="65">
        <f t="shared" si="37"/>
        <v>6.5732685750000002</v>
      </c>
      <c r="BA13" s="86">
        <f t="shared" si="38"/>
        <v>1.3146537149999995</v>
      </c>
      <c r="BB13" s="83">
        <f t="shared" si="39"/>
        <v>223.86179999999999</v>
      </c>
      <c r="BC13" s="67">
        <f t="shared" si="40"/>
        <v>410.41329999999999</v>
      </c>
      <c r="BD13" s="67">
        <f t="shared" si="41"/>
        <v>261.1721</v>
      </c>
      <c r="BE13" s="68">
        <f t="shared" si="42"/>
        <v>37.310299999999998</v>
      </c>
      <c r="BF13" s="68">
        <f t="shared" si="43"/>
        <v>7.4620600000000001</v>
      </c>
      <c r="BG13" s="67">
        <f t="shared" si="44"/>
        <v>43.634349495000009</v>
      </c>
      <c r="BH13" s="67">
        <f t="shared" si="45"/>
        <v>136.24904507499997</v>
      </c>
      <c r="BI13" s="67">
        <f t="shared" si="46"/>
        <v>51.308997905000012</v>
      </c>
      <c r="BJ13" s="68">
        <f t="shared" si="47"/>
        <v>11.017225700000001</v>
      </c>
      <c r="BK13" s="68">
        <f t="shared" si="48"/>
        <v>2.2034451399999995</v>
      </c>
      <c r="BL13" s="67">
        <f t="shared" si="49"/>
        <v>180.22745050500001</v>
      </c>
      <c r="BM13" s="67">
        <f t="shared" si="50"/>
        <v>274.16425492500002</v>
      </c>
      <c r="BN13" s="67">
        <f t="shared" si="51"/>
        <v>209.86310209499999</v>
      </c>
      <c r="BO13" s="68">
        <f t="shared" si="52"/>
        <v>26.293074300000001</v>
      </c>
      <c r="BP13" s="76">
        <f t="shared" si="53"/>
        <v>5.2586148600000007</v>
      </c>
      <c r="BQ13" s="33">
        <v>533865</v>
      </c>
      <c r="BR13" s="8">
        <v>0</v>
      </c>
      <c r="BS13" t="s">
        <v>132</v>
      </c>
    </row>
    <row r="14" spans="1:78" x14ac:dyDescent="0.25">
      <c r="A14" s="52"/>
      <c r="B14" s="52">
        <v>24</v>
      </c>
      <c r="C14" s="53" t="s">
        <v>67</v>
      </c>
      <c r="D14" s="118">
        <v>8047</v>
      </c>
      <c r="E14" s="103" t="s">
        <v>138</v>
      </c>
      <c r="F14" s="36" t="s">
        <v>250</v>
      </c>
      <c r="G14" s="110">
        <v>9134</v>
      </c>
      <c r="H14" s="111">
        <v>1180</v>
      </c>
      <c r="I14" s="107">
        <f t="shared" si="0"/>
        <v>10314</v>
      </c>
      <c r="J14" s="98">
        <f t="shared" si="1"/>
        <v>0.98029340924020147</v>
      </c>
      <c r="K14" s="99">
        <v>8954</v>
      </c>
      <c r="L14" s="94">
        <f t="shared" si="2"/>
        <v>1.9706590759798553E-2</v>
      </c>
      <c r="M14" s="89">
        <f t="shared" si="3"/>
        <v>180</v>
      </c>
      <c r="N14" s="91">
        <f t="shared" si="4"/>
        <v>3.9420000000000002</v>
      </c>
      <c r="O14" s="182">
        <f t="shared" si="5"/>
        <v>7.2270000000000003</v>
      </c>
      <c r="P14" s="130">
        <f t="shared" si="6"/>
        <v>4.5990000000000002</v>
      </c>
      <c r="Q14" s="130">
        <f t="shared" si="7"/>
        <v>0.65700000000000003</v>
      </c>
      <c r="R14" s="64">
        <f t="shared" si="8"/>
        <v>0.13139999999999999</v>
      </c>
      <c r="S14" s="130">
        <f t="shared" si="9"/>
        <v>0.28185300000000002</v>
      </c>
      <c r="T14" s="130">
        <f t="shared" si="10"/>
        <v>0.39025800000000005</v>
      </c>
      <c r="U14" s="130">
        <f t="shared" si="11"/>
        <v>0.36857700000000004</v>
      </c>
      <c r="V14" s="130">
        <f t="shared" si="12"/>
        <v>5.4202500000000008E-2</v>
      </c>
      <c r="W14" s="130">
        <f t="shared" si="13"/>
        <v>1.0840499999999999E-2</v>
      </c>
      <c r="X14" s="130">
        <f t="shared" si="14"/>
        <v>0.411939</v>
      </c>
      <c r="Y14" s="130">
        <f t="shared" si="15"/>
        <v>0.56370600000000004</v>
      </c>
      <c r="Z14" s="130">
        <f t="shared" si="16"/>
        <v>0.39025800000000005</v>
      </c>
      <c r="AA14" s="130">
        <f t="shared" si="17"/>
        <v>0</v>
      </c>
      <c r="AB14" s="130">
        <f t="shared" si="18"/>
        <v>0</v>
      </c>
      <c r="AC14" s="181">
        <f t="shared" si="19"/>
        <v>3.2482080000000004</v>
      </c>
      <c r="AD14" s="181">
        <f t="shared" si="20"/>
        <v>6.2730360000000003</v>
      </c>
      <c r="AE14" s="181">
        <f t="shared" si="21"/>
        <v>3.8401649999999998</v>
      </c>
      <c r="AF14" s="181">
        <f t="shared" si="22"/>
        <v>0.60279749999999999</v>
      </c>
      <c r="AG14" s="181">
        <f t="shared" si="23"/>
        <v>0.12055949999999999</v>
      </c>
      <c r="AH14" s="85">
        <f t="shared" si="24"/>
        <v>221.93459999999999</v>
      </c>
      <c r="AI14" s="135">
        <f t="shared" si="25"/>
        <v>406.88010000000003</v>
      </c>
      <c r="AJ14" s="135">
        <f t="shared" si="26"/>
        <v>258.9237</v>
      </c>
      <c r="AK14" s="135">
        <f t="shared" si="27"/>
        <v>36.989100000000001</v>
      </c>
      <c r="AL14" s="65">
        <f t="shared" si="28"/>
        <v>7.3978200000000003</v>
      </c>
      <c r="AM14" s="66">
        <v>0.9</v>
      </c>
      <c r="AN14" s="66">
        <v>0.75</v>
      </c>
      <c r="AO14" s="66">
        <v>0.9</v>
      </c>
      <c r="AP14" s="66">
        <v>0.8</v>
      </c>
      <c r="AQ14" s="66">
        <v>0.8</v>
      </c>
      <c r="AR14" s="65">
        <f t="shared" si="29"/>
        <v>199.9948077</v>
      </c>
      <c r="AS14" s="65">
        <f t="shared" si="30"/>
        <v>305.45276850000005</v>
      </c>
      <c r="AT14" s="65">
        <f t="shared" si="31"/>
        <v>233.36304930000003</v>
      </c>
      <c r="AU14" s="65">
        <f t="shared" si="32"/>
        <v>29.634642000000003</v>
      </c>
      <c r="AV14" s="65">
        <f t="shared" si="33"/>
        <v>5.9269284000000004</v>
      </c>
      <c r="AW14" s="65">
        <f t="shared" si="34"/>
        <v>22.221645300000006</v>
      </c>
      <c r="AX14" s="65">
        <f t="shared" si="35"/>
        <v>101.8175895</v>
      </c>
      <c r="AY14" s="65">
        <f t="shared" si="36"/>
        <v>25.929227699999984</v>
      </c>
      <c r="AZ14" s="65">
        <f t="shared" si="37"/>
        <v>7.4086604999999999</v>
      </c>
      <c r="BA14" s="86">
        <f t="shared" si="38"/>
        <v>1.4817320999999994</v>
      </c>
      <c r="BB14" s="83">
        <f t="shared" si="39"/>
        <v>225.8766</v>
      </c>
      <c r="BC14" s="67">
        <f t="shared" si="40"/>
        <v>414.1071</v>
      </c>
      <c r="BD14" s="67">
        <f t="shared" si="41"/>
        <v>263.52269999999999</v>
      </c>
      <c r="BE14" s="68">
        <f t="shared" si="42"/>
        <v>37.646100000000004</v>
      </c>
      <c r="BF14" s="68">
        <f t="shared" si="43"/>
        <v>7.5292200000000005</v>
      </c>
      <c r="BG14" s="67">
        <f t="shared" si="44"/>
        <v>25.469853300000008</v>
      </c>
      <c r="BH14" s="67">
        <f t="shared" si="45"/>
        <v>108.0906255</v>
      </c>
      <c r="BI14" s="67">
        <f t="shared" si="46"/>
        <v>29.769392699999983</v>
      </c>
      <c r="BJ14" s="68">
        <f t="shared" si="47"/>
        <v>8.0114579999999993</v>
      </c>
      <c r="BK14" s="68">
        <f t="shared" si="48"/>
        <v>1.6022915999999994</v>
      </c>
      <c r="BL14" s="67">
        <f t="shared" si="49"/>
        <v>200.40674669999999</v>
      </c>
      <c r="BM14" s="67">
        <f t="shared" si="50"/>
        <v>306.01647450000007</v>
      </c>
      <c r="BN14" s="67">
        <f t="shared" si="51"/>
        <v>233.75330730000002</v>
      </c>
      <c r="BO14" s="68">
        <f t="shared" si="52"/>
        <v>29.634642000000003</v>
      </c>
      <c r="BP14" s="76">
        <f t="shared" si="53"/>
        <v>5.9269284000000004</v>
      </c>
      <c r="BQ14" s="33">
        <f>307160*0.6</f>
        <v>184296</v>
      </c>
      <c r="BR14" s="8">
        <v>0</v>
      </c>
      <c r="BS14" t="s">
        <v>129</v>
      </c>
    </row>
    <row r="15" spans="1:78" x14ac:dyDescent="0.25">
      <c r="A15" s="52"/>
      <c r="B15" s="52">
        <v>25</v>
      </c>
      <c r="C15" s="53" t="s">
        <v>78</v>
      </c>
      <c r="D15" s="118">
        <v>7887</v>
      </c>
      <c r="E15" s="103" t="s">
        <v>11</v>
      </c>
      <c r="F15" s="36" t="s">
        <v>250</v>
      </c>
      <c r="G15" s="110">
        <v>9068</v>
      </c>
      <c r="H15" s="110">
        <v>625</v>
      </c>
      <c r="I15" s="107">
        <f t="shared" si="0"/>
        <v>9693</v>
      </c>
      <c r="J15" s="98">
        <f t="shared" si="1"/>
        <v>0.77602558447287162</v>
      </c>
      <c r="K15" s="101">
        <v>7037</v>
      </c>
      <c r="L15" s="94">
        <f t="shared" si="2"/>
        <v>0.22397441552712835</v>
      </c>
      <c r="M15" s="89">
        <f t="shared" si="3"/>
        <v>2031</v>
      </c>
      <c r="N15" s="91">
        <f t="shared" si="4"/>
        <v>44.478900000000003</v>
      </c>
      <c r="O15" s="182">
        <f t="shared" si="5"/>
        <v>81.544650000000004</v>
      </c>
      <c r="P15" s="130">
        <f t="shared" si="6"/>
        <v>51.892049999999998</v>
      </c>
      <c r="Q15" s="130">
        <f t="shared" si="7"/>
        <v>7.4131499999999999</v>
      </c>
      <c r="R15" s="64">
        <f t="shared" si="8"/>
        <v>1.4826299999999999</v>
      </c>
      <c r="S15" s="130">
        <f t="shared" si="9"/>
        <v>3.1802413500000002</v>
      </c>
      <c r="T15" s="130">
        <f t="shared" si="10"/>
        <v>4.4034111000000005</v>
      </c>
      <c r="U15" s="130">
        <f t="shared" si="11"/>
        <v>4.1587771499999997</v>
      </c>
      <c r="V15" s="130">
        <f t="shared" si="12"/>
        <v>0.61158487500000003</v>
      </c>
      <c r="W15" s="130">
        <f t="shared" si="13"/>
        <v>0.12231697499999999</v>
      </c>
      <c r="X15" s="130">
        <f t="shared" si="14"/>
        <v>4.6480450500000003</v>
      </c>
      <c r="Y15" s="130">
        <f t="shared" si="15"/>
        <v>6.3604827000000004</v>
      </c>
      <c r="Z15" s="130">
        <f t="shared" si="16"/>
        <v>4.4034111000000005</v>
      </c>
      <c r="AA15" s="130">
        <f t="shared" si="17"/>
        <v>0</v>
      </c>
      <c r="AB15" s="130">
        <f t="shared" si="18"/>
        <v>0</v>
      </c>
      <c r="AC15" s="181">
        <f t="shared" si="19"/>
        <v>36.6506136</v>
      </c>
      <c r="AD15" s="181">
        <f t="shared" si="20"/>
        <v>70.780756199999999</v>
      </c>
      <c r="AE15" s="181">
        <f t="shared" si="21"/>
        <v>43.329861749999999</v>
      </c>
      <c r="AF15" s="181">
        <f t="shared" si="22"/>
        <v>6.8015651249999998</v>
      </c>
      <c r="AG15" s="181">
        <f t="shared" si="23"/>
        <v>1.360313025</v>
      </c>
      <c r="AH15" s="85">
        <f t="shared" si="24"/>
        <v>167.7978</v>
      </c>
      <c r="AI15" s="135">
        <f t="shared" si="25"/>
        <v>307.6293</v>
      </c>
      <c r="AJ15" s="135">
        <f t="shared" si="26"/>
        <v>195.76410000000001</v>
      </c>
      <c r="AK15" s="135">
        <f t="shared" si="27"/>
        <v>27.9663</v>
      </c>
      <c r="AL15" s="65">
        <f t="shared" si="28"/>
        <v>5.5932599999999999</v>
      </c>
      <c r="AM15" s="66">
        <v>0.9</v>
      </c>
      <c r="AN15" s="66">
        <v>0.75</v>
      </c>
      <c r="AO15" s="66">
        <v>0.9</v>
      </c>
      <c r="AP15" s="66">
        <v>0.1</v>
      </c>
      <c r="AQ15" s="66">
        <v>0.1</v>
      </c>
      <c r="AR15" s="65">
        <f t="shared" si="29"/>
        <v>153.88023721499999</v>
      </c>
      <c r="AS15" s="65">
        <f t="shared" si="30"/>
        <v>234.02453332500002</v>
      </c>
      <c r="AT15" s="65">
        <f t="shared" si="31"/>
        <v>179.930589435</v>
      </c>
      <c r="AU15" s="65">
        <f t="shared" si="32"/>
        <v>2.8577884875000001</v>
      </c>
      <c r="AV15" s="65">
        <f t="shared" si="33"/>
        <v>0.57155769750000007</v>
      </c>
      <c r="AW15" s="65">
        <f t="shared" si="34"/>
        <v>17.09780413499999</v>
      </c>
      <c r="AX15" s="65">
        <f t="shared" si="35"/>
        <v>78.008177775000007</v>
      </c>
      <c r="AY15" s="65">
        <f t="shared" si="36"/>
        <v>19.992287715000003</v>
      </c>
      <c r="AZ15" s="65">
        <f t="shared" si="37"/>
        <v>25.7200963875</v>
      </c>
      <c r="BA15" s="86">
        <f t="shared" si="38"/>
        <v>5.1440192775</v>
      </c>
      <c r="BB15" s="83">
        <f t="shared" si="39"/>
        <v>212.27670000000001</v>
      </c>
      <c r="BC15" s="67">
        <f t="shared" si="40"/>
        <v>389.17394999999999</v>
      </c>
      <c r="BD15" s="67">
        <f t="shared" si="41"/>
        <v>247.65615000000003</v>
      </c>
      <c r="BE15" s="68">
        <f t="shared" si="42"/>
        <v>35.379449999999999</v>
      </c>
      <c r="BF15" s="68">
        <f t="shared" si="43"/>
        <v>7.0758899999999993</v>
      </c>
      <c r="BG15" s="67">
        <f t="shared" si="44"/>
        <v>53.74841773499999</v>
      </c>
      <c r="BH15" s="67">
        <f t="shared" si="45"/>
        <v>148.78893397500002</v>
      </c>
      <c r="BI15" s="67">
        <f t="shared" si="46"/>
        <v>63.322149465000003</v>
      </c>
      <c r="BJ15" s="68">
        <f t="shared" si="47"/>
        <v>32.521661512500003</v>
      </c>
      <c r="BK15" s="68">
        <f t="shared" si="48"/>
        <v>6.5043323024999999</v>
      </c>
      <c r="BL15" s="67">
        <f t="shared" si="49"/>
        <v>158.528282265</v>
      </c>
      <c r="BM15" s="67">
        <f t="shared" si="50"/>
        <v>240.38501602500003</v>
      </c>
      <c r="BN15" s="67">
        <f t="shared" si="51"/>
        <v>184.334000535</v>
      </c>
      <c r="BO15" s="68">
        <f t="shared" si="52"/>
        <v>2.8577884875000001</v>
      </c>
      <c r="BP15" s="76">
        <f t="shared" si="53"/>
        <v>0.57155769750000007</v>
      </c>
      <c r="BQ15" s="33">
        <v>1183705</v>
      </c>
      <c r="BR15" s="8">
        <v>584030</v>
      </c>
      <c r="BS15" t="s">
        <v>129</v>
      </c>
    </row>
    <row r="16" spans="1:78" x14ac:dyDescent="0.25">
      <c r="A16" s="52"/>
      <c r="B16" s="52">
        <v>26</v>
      </c>
      <c r="C16" s="53" t="s">
        <v>130</v>
      </c>
      <c r="D16" s="118">
        <v>7817</v>
      </c>
      <c r="E16" s="103" t="s">
        <v>139</v>
      </c>
      <c r="F16" s="36" t="s">
        <v>250</v>
      </c>
      <c r="G16" s="110">
        <v>9763</v>
      </c>
      <c r="H16" s="110">
        <v>1406</v>
      </c>
      <c r="I16" s="107">
        <f t="shared" si="0"/>
        <v>11169</v>
      </c>
      <c r="J16" s="98">
        <f t="shared" si="1"/>
        <v>1</v>
      </c>
      <c r="K16" s="99">
        <v>9763</v>
      </c>
      <c r="L16" s="94">
        <f t="shared" si="2"/>
        <v>0</v>
      </c>
      <c r="M16" s="89">
        <f t="shared" si="3"/>
        <v>0</v>
      </c>
      <c r="N16" s="91">
        <f t="shared" si="4"/>
        <v>0</v>
      </c>
      <c r="O16" s="182">
        <f t="shared" si="5"/>
        <v>0</v>
      </c>
      <c r="P16" s="130">
        <f t="shared" si="6"/>
        <v>0</v>
      </c>
      <c r="Q16" s="130">
        <f t="shared" si="7"/>
        <v>0</v>
      </c>
      <c r="R16" s="64">
        <f t="shared" si="8"/>
        <v>0</v>
      </c>
      <c r="S16" s="130">
        <f t="shared" si="9"/>
        <v>0</v>
      </c>
      <c r="T16" s="130">
        <f t="shared" si="10"/>
        <v>0</v>
      </c>
      <c r="U16" s="130">
        <f t="shared" si="11"/>
        <v>0</v>
      </c>
      <c r="V16" s="130">
        <f t="shared" si="12"/>
        <v>0</v>
      </c>
      <c r="W16" s="130">
        <f t="shared" si="13"/>
        <v>0</v>
      </c>
      <c r="X16" s="130">
        <f t="shared" si="14"/>
        <v>0</v>
      </c>
      <c r="Y16" s="130">
        <f t="shared" si="15"/>
        <v>0</v>
      </c>
      <c r="Z16" s="130">
        <f t="shared" si="16"/>
        <v>0</v>
      </c>
      <c r="AA16" s="130">
        <f t="shared" si="17"/>
        <v>0</v>
      </c>
      <c r="AB16" s="130">
        <f t="shared" si="18"/>
        <v>0</v>
      </c>
      <c r="AC16" s="181">
        <f t="shared" si="19"/>
        <v>0</v>
      </c>
      <c r="AD16" s="181">
        <f t="shared" si="20"/>
        <v>0</v>
      </c>
      <c r="AE16" s="181">
        <f t="shared" si="21"/>
        <v>0</v>
      </c>
      <c r="AF16" s="181">
        <f t="shared" si="22"/>
        <v>0</v>
      </c>
      <c r="AG16" s="181">
        <f t="shared" si="23"/>
        <v>0</v>
      </c>
      <c r="AH16" s="85">
        <f t="shared" si="24"/>
        <v>244.6011</v>
      </c>
      <c r="AI16" s="135">
        <f t="shared" si="25"/>
        <v>448.43535000000003</v>
      </c>
      <c r="AJ16" s="135">
        <f t="shared" si="26"/>
        <v>285.36795000000001</v>
      </c>
      <c r="AK16" s="135">
        <f t="shared" si="27"/>
        <v>40.766849999999998</v>
      </c>
      <c r="AL16" s="65">
        <f t="shared" si="28"/>
        <v>8.1533700000000007</v>
      </c>
      <c r="AM16" s="66">
        <v>0.9</v>
      </c>
      <c r="AN16" s="66">
        <v>0.75</v>
      </c>
      <c r="AO16" s="66">
        <v>0.9</v>
      </c>
      <c r="AP16" s="66">
        <v>0.8</v>
      </c>
      <c r="AQ16" s="66">
        <v>0.8</v>
      </c>
      <c r="AR16" s="65">
        <f t="shared" si="29"/>
        <v>220.14099000000002</v>
      </c>
      <c r="AS16" s="65">
        <f t="shared" si="30"/>
        <v>336.32651250000004</v>
      </c>
      <c r="AT16" s="65">
        <f t="shared" si="31"/>
        <v>256.83115500000002</v>
      </c>
      <c r="AU16" s="65">
        <f t="shared" si="32"/>
        <v>32.613480000000003</v>
      </c>
      <c r="AV16" s="65">
        <f t="shared" si="33"/>
        <v>6.5226960000000007</v>
      </c>
      <c r="AW16" s="65">
        <f t="shared" si="34"/>
        <v>24.460109999999986</v>
      </c>
      <c r="AX16" s="65">
        <f t="shared" si="35"/>
        <v>112.10883749999999</v>
      </c>
      <c r="AY16" s="65">
        <f t="shared" si="36"/>
        <v>28.536794999999984</v>
      </c>
      <c r="AZ16" s="65">
        <f t="shared" si="37"/>
        <v>8.1533699999999953</v>
      </c>
      <c r="BA16" s="86">
        <f t="shared" si="38"/>
        <v>1.630674</v>
      </c>
      <c r="BB16" s="83">
        <f t="shared" si="39"/>
        <v>244.6011</v>
      </c>
      <c r="BC16" s="67">
        <f t="shared" si="40"/>
        <v>448.43535000000003</v>
      </c>
      <c r="BD16" s="67">
        <f t="shared" si="41"/>
        <v>285.36795000000001</v>
      </c>
      <c r="BE16" s="68">
        <f t="shared" si="42"/>
        <v>40.766849999999998</v>
      </c>
      <c r="BF16" s="68">
        <f t="shared" si="43"/>
        <v>8.1533700000000007</v>
      </c>
      <c r="BG16" s="67">
        <f t="shared" si="44"/>
        <v>24.460109999999986</v>
      </c>
      <c r="BH16" s="67">
        <f t="shared" si="45"/>
        <v>112.10883749999999</v>
      </c>
      <c r="BI16" s="67">
        <f t="shared" si="46"/>
        <v>28.536794999999984</v>
      </c>
      <c r="BJ16" s="68">
        <f t="shared" si="47"/>
        <v>8.1533699999999953</v>
      </c>
      <c r="BK16" s="68">
        <f t="shared" si="48"/>
        <v>1.630674</v>
      </c>
      <c r="BL16" s="67">
        <f t="shared" si="49"/>
        <v>220.14099000000002</v>
      </c>
      <c r="BM16" s="67">
        <f t="shared" si="50"/>
        <v>336.32651250000004</v>
      </c>
      <c r="BN16" s="67">
        <f t="shared" si="51"/>
        <v>256.83115500000002</v>
      </c>
      <c r="BO16" s="68">
        <f t="shared" si="52"/>
        <v>32.613480000000003</v>
      </c>
      <c r="BP16" s="76">
        <f t="shared" si="53"/>
        <v>6.5226960000000007</v>
      </c>
      <c r="BQ16" s="33">
        <v>0</v>
      </c>
      <c r="BR16" s="8">
        <v>0</v>
      </c>
      <c r="BS16" t="s">
        <v>3</v>
      </c>
    </row>
    <row r="17" spans="1:72" x14ac:dyDescent="0.25">
      <c r="A17" s="52"/>
      <c r="B17" s="52">
        <v>28</v>
      </c>
      <c r="C17" s="53" t="s">
        <v>68</v>
      </c>
      <c r="D17" s="118">
        <v>7667</v>
      </c>
      <c r="E17" s="103" t="s">
        <v>11</v>
      </c>
      <c r="F17" s="36" t="s">
        <v>250</v>
      </c>
      <c r="G17" s="110">
        <v>8983</v>
      </c>
      <c r="H17" s="111">
        <v>87</v>
      </c>
      <c r="I17" s="107">
        <f t="shared" si="0"/>
        <v>9070</v>
      </c>
      <c r="J17" s="98">
        <f t="shared" si="1"/>
        <v>1</v>
      </c>
      <c r="K17" s="99">
        <v>8983</v>
      </c>
      <c r="L17" s="94">
        <f t="shared" si="2"/>
        <v>0</v>
      </c>
      <c r="M17" s="89">
        <f t="shared" si="3"/>
        <v>0</v>
      </c>
      <c r="N17" s="91">
        <f t="shared" si="4"/>
        <v>0</v>
      </c>
      <c r="O17" s="182">
        <f t="shared" si="5"/>
        <v>0</v>
      </c>
      <c r="P17" s="130">
        <f t="shared" si="6"/>
        <v>0</v>
      </c>
      <c r="Q17" s="130">
        <f t="shared" si="7"/>
        <v>0</v>
      </c>
      <c r="R17" s="64">
        <f t="shared" si="8"/>
        <v>0</v>
      </c>
      <c r="S17" s="130">
        <f t="shared" si="9"/>
        <v>0</v>
      </c>
      <c r="T17" s="130">
        <f t="shared" si="10"/>
        <v>0</v>
      </c>
      <c r="U17" s="130">
        <f t="shared" si="11"/>
        <v>0</v>
      </c>
      <c r="V17" s="130">
        <f t="shared" si="12"/>
        <v>0</v>
      </c>
      <c r="W17" s="130">
        <f t="shared" si="13"/>
        <v>0</v>
      </c>
      <c r="X17" s="130">
        <f t="shared" si="14"/>
        <v>0</v>
      </c>
      <c r="Y17" s="130">
        <f t="shared" si="15"/>
        <v>0</v>
      </c>
      <c r="Z17" s="130">
        <f t="shared" si="16"/>
        <v>0</v>
      </c>
      <c r="AA17" s="130">
        <f t="shared" si="17"/>
        <v>0</v>
      </c>
      <c r="AB17" s="130">
        <f t="shared" si="18"/>
        <v>0</v>
      </c>
      <c r="AC17" s="181">
        <f t="shared" si="19"/>
        <v>0</v>
      </c>
      <c r="AD17" s="181">
        <f t="shared" si="20"/>
        <v>0</v>
      </c>
      <c r="AE17" s="181">
        <f t="shared" si="21"/>
        <v>0</v>
      </c>
      <c r="AF17" s="181">
        <f t="shared" si="22"/>
        <v>0</v>
      </c>
      <c r="AG17" s="181">
        <f t="shared" si="23"/>
        <v>0</v>
      </c>
      <c r="AH17" s="85">
        <f t="shared" si="24"/>
        <v>198.63300000000001</v>
      </c>
      <c r="AI17" s="135">
        <f t="shared" si="25"/>
        <v>364.16050000000001</v>
      </c>
      <c r="AJ17" s="135">
        <f t="shared" si="26"/>
        <v>231.73849999999999</v>
      </c>
      <c r="AK17" s="135">
        <f t="shared" si="27"/>
        <v>33.105499999999999</v>
      </c>
      <c r="AL17" s="65">
        <f t="shared" si="28"/>
        <v>6.6211000000000002</v>
      </c>
      <c r="AM17" s="66">
        <v>0.9</v>
      </c>
      <c r="AN17" s="66">
        <v>0.75</v>
      </c>
      <c r="AO17" s="66">
        <v>0.9</v>
      </c>
      <c r="AP17" s="66">
        <v>0.1</v>
      </c>
      <c r="AQ17" s="66">
        <v>0.1</v>
      </c>
      <c r="AR17" s="65">
        <f t="shared" si="29"/>
        <v>178.7697</v>
      </c>
      <c r="AS17" s="65">
        <f t="shared" si="30"/>
        <v>273.12037500000002</v>
      </c>
      <c r="AT17" s="65">
        <f t="shared" si="31"/>
        <v>208.56465</v>
      </c>
      <c r="AU17" s="65">
        <f t="shared" si="32"/>
        <v>3.3105500000000001</v>
      </c>
      <c r="AV17" s="65">
        <f t="shared" si="33"/>
        <v>0.66211000000000009</v>
      </c>
      <c r="AW17" s="65">
        <f t="shared" si="34"/>
        <v>19.86330000000001</v>
      </c>
      <c r="AX17" s="65">
        <f t="shared" si="35"/>
        <v>91.040124999999989</v>
      </c>
      <c r="AY17" s="65">
        <f t="shared" si="36"/>
        <v>23.173849999999987</v>
      </c>
      <c r="AZ17" s="65">
        <f t="shared" si="37"/>
        <v>29.79495</v>
      </c>
      <c r="BA17" s="86">
        <f t="shared" si="38"/>
        <v>5.95899</v>
      </c>
      <c r="BB17" s="83">
        <f t="shared" si="39"/>
        <v>198.63300000000001</v>
      </c>
      <c r="BC17" s="67">
        <f t="shared" si="40"/>
        <v>364.16050000000001</v>
      </c>
      <c r="BD17" s="67">
        <f t="shared" si="41"/>
        <v>231.73849999999999</v>
      </c>
      <c r="BE17" s="68">
        <f t="shared" si="42"/>
        <v>33.105499999999999</v>
      </c>
      <c r="BF17" s="68">
        <f t="shared" si="43"/>
        <v>6.6211000000000002</v>
      </c>
      <c r="BG17" s="67">
        <f t="shared" si="44"/>
        <v>19.86330000000001</v>
      </c>
      <c r="BH17" s="67">
        <f t="shared" si="45"/>
        <v>91.040124999999989</v>
      </c>
      <c r="BI17" s="67">
        <f t="shared" si="46"/>
        <v>23.173849999999987</v>
      </c>
      <c r="BJ17" s="68">
        <f t="shared" si="47"/>
        <v>29.79495</v>
      </c>
      <c r="BK17" s="68">
        <f t="shared" si="48"/>
        <v>5.95899</v>
      </c>
      <c r="BL17" s="67">
        <f t="shared" si="49"/>
        <v>178.7697</v>
      </c>
      <c r="BM17" s="67">
        <f t="shared" si="50"/>
        <v>273.12037500000002</v>
      </c>
      <c r="BN17" s="67">
        <f t="shared" si="51"/>
        <v>208.56465</v>
      </c>
      <c r="BO17" s="68">
        <f t="shared" si="52"/>
        <v>3.3105500000000001</v>
      </c>
      <c r="BP17" s="76">
        <f t="shared" si="53"/>
        <v>0.66211000000000009</v>
      </c>
      <c r="BQ17" s="33">
        <v>0</v>
      </c>
      <c r="BR17" s="8">
        <v>0</v>
      </c>
      <c r="BS17" t="s">
        <v>3</v>
      </c>
    </row>
    <row r="18" spans="1:72" x14ac:dyDescent="0.25">
      <c r="A18" s="52"/>
      <c r="B18" s="52">
        <v>30</v>
      </c>
      <c r="C18" s="53" t="s">
        <v>70</v>
      </c>
      <c r="D18" s="118">
        <v>7079</v>
      </c>
      <c r="E18" s="103" t="s">
        <v>142</v>
      </c>
      <c r="F18" s="36" t="s">
        <v>250</v>
      </c>
      <c r="G18" s="110">
        <v>7748</v>
      </c>
      <c r="H18" s="111">
        <v>360</v>
      </c>
      <c r="I18" s="107">
        <f t="shared" si="0"/>
        <v>8108</v>
      </c>
      <c r="J18" s="98">
        <f t="shared" si="1"/>
        <v>1</v>
      </c>
      <c r="K18" s="99">
        <v>7748</v>
      </c>
      <c r="L18" s="94">
        <f t="shared" si="2"/>
        <v>0</v>
      </c>
      <c r="M18" s="89">
        <f t="shared" si="3"/>
        <v>0</v>
      </c>
      <c r="N18" s="91">
        <f t="shared" si="4"/>
        <v>0</v>
      </c>
      <c r="O18" s="182">
        <f t="shared" si="5"/>
        <v>0</v>
      </c>
      <c r="P18" s="130">
        <f t="shared" si="6"/>
        <v>0</v>
      </c>
      <c r="Q18" s="130">
        <f t="shared" si="7"/>
        <v>0</v>
      </c>
      <c r="R18" s="64">
        <f t="shared" si="8"/>
        <v>0</v>
      </c>
      <c r="S18" s="130">
        <f t="shared" si="9"/>
        <v>0</v>
      </c>
      <c r="T18" s="130">
        <f t="shared" si="10"/>
        <v>0</v>
      </c>
      <c r="U18" s="130">
        <f t="shared" si="11"/>
        <v>0</v>
      </c>
      <c r="V18" s="130">
        <f t="shared" si="12"/>
        <v>0</v>
      </c>
      <c r="W18" s="130">
        <f t="shared" si="13"/>
        <v>0</v>
      </c>
      <c r="X18" s="130">
        <f t="shared" si="14"/>
        <v>0</v>
      </c>
      <c r="Y18" s="130">
        <f t="shared" si="15"/>
        <v>0</v>
      </c>
      <c r="Z18" s="130">
        <f t="shared" si="16"/>
        <v>0</v>
      </c>
      <c r="AA18" s="130">
        <f t="shared" si="17"/>
        <v>0</v>
      </c>
      <c r="AB18" s="130">
        <f t="shared" si="18"/>
        <v>0</v>
      </c>
      <c r="AC18" s="181">
        <f t="shared" si="19"/>
        <v>0</v>
      </c>
      <c r="AD18" s="181">
        <f t="shared" si="20"/>
        <v>0</v>
      </c>
      <c r="AE18" s="181">
        <f t="shared" si="21"/>
        <v>0</v>
      </c>
      <c r="AF18" s="181">
        <f t="shared" si="22"/>
        <v>0</v>
      </c>
      <c r="AG18" s="181">
        <f t="shared" si="23"/>
        <v>0</v>
      </c>
      <c r="AH18" s="85">
        <f t="shared" si="24"/>
        <v>177.5652</v>
      </c>
      <c r="AI18" s="135">
        <f t="shared" si="25"/>
        <v>325.53620000000001</v>
      </c>
      <c r="AJ18" s="135">
        <f t="shared" si="26"/>
        <v>207.15940000000001</v>
      </c>
      <c r="AK18" s="135">
        <f t="shared" si="27"/>
        <v>29.594200000000001</v>
      </c>
      <c r="AL18" s="65">
        <f t="shared" si="28"/>
        <v>5.9188400000000003</v>
      </c>
      <c r="AM18" s="66">
        <v>0.9</v>
      </c>
      <c r="AN18" s="66">
        <v>0.75</v>
      </c>
      <c r="AO18" s="66">
        <v>0.9</v>
      </c>
      <c r="AP18" s="66">
        <v>0.1</v>
      </c>
      <c r="AQ18" s="66">
        <v>0.1</v>
      </c>
      <c r="AR18" s="65">
        <f t="shared" si="29"/>
        <v>159.80868000000001</v>
      </c>
      <c r="AS18" s="65">
        <f t="shared" si="30"/>
        <v>244.15215000000001</v>
      </c>
      <c r="AT18" s="65">
        <f t="shared" si="31"/>
        <v>186.44346000000002</v>
      </c>
      <c r="AU18" s="65">
        <f t="shared" si="32"/>
        <v>2.9594200000000002</v>
      </c>
      <c r="AV18" s="65">
        <f t="shared" si="33"/>
        <v>0.59188400000000008</v>
      </c>
      <c r="AW18" s="65">
        <f t="shared" si="34"/>
        <v>17.756519999999995</v>
      </c>
      <c r="AX18" s="65">
        <f t="shared" si="35"/>
        <v>81.384050000000002</v>
      </c>
      <c r="AY18" s="65">
        <f t="shared" si="36"/>
        <v>20.715939999999989</v>
      </c>
      <c r="AZ18" s="65">
        <f t="shared" si="37"/>
        <v>26.634779999999999</v>
      </c>
      <c r="BA18" s="86">
        <f t="shared" si="38"/>
        <v>5.326956</v>
      </c>
      <c r="BB18" s="83">
        <f t="shared" si="39"/>
        <v>177.5652</v>
      </c>
      <c r="BC18" s="67">
        <f t="shared" si="40"/>
        <v>325.53620000000001</v>
      </c>
      <c r="BD18" s="67">
        <f t="shared" si="41"/>
        <v>207.15940000000001</v>
      </c>
      <c r="BE18" s="68">
        <f t="shared" si="42"/>
        <v>29.594200000000001</v>
      </c>
      <c r="BF18" s="68">
        <f t="shared" si="43"/>
        <v>5.9188400000000003</v>
      </c>
      <c r="BG18" s="67">
        <f t="shared" si="44"/>
        <v>17.756519999999995</v>
      </c>
      <c r="BH18" s="67">
        <f t="shared" si="45"/>
        <v>81.384050000000002</v>
      </c>
      <c r="BI18" s="67">
        <f t="shared" si="46"/>
        <v>20.715939999999989</v>
      </c>
      <c r="BJ18" s="68">
        <f t="shared" si="47"/>
        <v>26.634779999999999</v>
      </c>
      <c r="BK18" s="68">
        <f t="shared" si="48"/>
        <v>5.326956</v>
      </c>
      <c r="BL18" s="67">
        <f t="shared" si="49"/>
        <v>159.80868000000001</v>
      </c>
      <c r="BM18" s="67">
        <f t="shared" si="50"/>
        <v>244.15215000000001</v>
      </c>
      <c r="BN18" s="67">
        <f t="shared" si="51"/>
        <v>186.44346000000002</v>
      </c>
      <c r="BO18" s="68">
        <f t="shared" si="52"/>
        <v>2.9594200000000002</v>
      </c>
      <c r="BP18" s="76">
        <f t="shared" si="53"/>
        <v>0.59188400000000008</v>
      </c>
      <c r="BQ18" s="33">
        <v>0</v>
      </c>
      <c r="BR18" s="8">
        <v>0</v>
      </c>
      <c r="BS18" t="s">
        <v>3</v>
      </c>
    </row>
    <row r="19" spans="1:72" x14ac:dyDescent="0.25">
      <c r="A19" s="52"/>
      <c r="B19" s="52">
        <v>31</v>
      </c>
      <c r="C19" s="53" t="s">
        <v>72</v>
      </c>
      <c r="D19" s="118">
        <v>6979</v>
      </c>
      <c r="E19" s="103" t="s">
        <v>143</v>
      </c>
      <c r="F19" s="36" t="s">
        <v>250</v>
      </c>
      <c r="G19" s="110">
        <v>7769</v>
      </c>
      <c r="H19" s="110">
        <v>0</v>
      </c>
      <c r="I19" s="107">
        <f t="shared" si="0"/>
        <v>7769</v>
      </c>
      <c r="J19" s="98">
        <f t="shared" si="1"/>
        <v>0.95482044021109536</v>
      </c>
      <c r="K19" s="99">
        <v>7418</v>
      </c>
      <c r="L19" s="94">
        <f t="shared" si="2"/>
        <v>4.5179559788904623E-2</v>
      </c>
      <c r="M19" s="89">
        <f t="shared" si="3"/>
        <v>351</v>
      </c>
      <c r="N19" s="91">
        <f t="shared" si="4"/>
        <v>7.6868999999999996</v>
      </c>
      <c r="O19" s="182">
        <f t="shared" si="5"/>
        <v>14.092650000000001</v>
      </c>
      <c r="P19" s="130">
        <f t="shared" si="6"/>
        <v>8.9680499999999999</v>
      </c>
      <c r="Q19" s="130">
        <f t="shared" si="7"/>
        <v>1.28115</v>
      </c>
      <c r="R19" s="64">
        <f t="shared" si="8"/>
        <v>0.25623000000000001</v>
      </c>
      <c r="S19" s="130">
        <f t="shared" si="9"/>
        <v>0.54961335</v>
      </c>
      <c r="T19" s="130">
        <f t="shared" si="10"/>
        <v>0.76100310000000004</v>
      </c>
      <c r="U19" s="130">
        <f t="shared" si="11"/>
        <v>0.71872515000000003</v>
      </c>
      <c r="V19" s="130">
        <f t="shared" si="12"/>
        <v>0.10569487500000001</v>
      </c>
      <c r="W19" s="130">
        <f t="shared" si="13"/>
        <v>2.1138975000000001E-2</v>
      </c>
      <c r="X19" s="130">
        <f t="shared" si="14"/>
        <v>0.80328104999999994</v>
      </c>
      <c r="Y19" s="130">
        <f t="shared" si="15"/>
        <v>1.0992267</v>
      </c>
      <c r="Z19" s="130">
        <f t="shared" si="16"/>
        <v>0.76100310000000004</v>
      </c>
      <c r="AA19" s="130">
        <f t="shared" si="17"/>
        <v>0</v>
      </c>
      <c r="AB19" s="130">
        <f t="shared" si="18"/>
        <v>0</v>
      </c>
      <c r="AC19" s="181">
        <f t="shared" si="19"/>
        <v>6.3340056000000002</v>
      </c>
      <c r="AD19" s="181">
        <f t="shared" si="20"/>
        <v>12.2324202</v>
      </c>
      <c r="AE19" s="181">
        <f t="shared" si="21"/>
        <v>7.4883217500000008</v>
      </c>
      <c r="AF19" s="181">
        <f t="shared" si="22"/>
        <v>1.175455125</v>
      </c>
      <c r="AG19" s="181">
        <f t="shared" si="23"/>
        <v>0.23509102500000001</v>
      </c>
      <c r="AH19" s="85">
        <f t="shared" si="24"/>
        <v>162.45419999999999</v>
      </c>
      <c r="AI19" s="135">
        <f t="shared" si="25"/>
        <v>297.83269999999999</v>
      </c>
      <c r="AJ19" s="135">
        <f t="shared" si="26"/>
        <v>189.5299</v>
      </c>
      <c r="AK19" s="135">
        <f t="shared" si="27"/>
        <v>27.075700000000001</v>
      </c>
      <c r="AL19" s="65">
        <f t="shared" si="28"/>
        <v>5.4151400000000001</v>
      </c>
      <c r="AM19" s="66">
        <v>0.9</v>
      </c>
      <c r="AN19" s="66">
        <v>0.75</v>
      </c>
      <c r="AO19" s="66">
        <v>0.9</v>
      </c>
      <c r="AP19" s="66">
        <v>0.1</v>
      </c>
      <c r="AQ19" s="66">
        <v>0.1</v>
      </c>
      <c r="AR19" s="65">
        <f t="shared" si="29"/>
        <v>146.70343201499998</v>
      </c>
      <c r="AS19" s="65">
        <f t="shared" si="30"/>
        <v>223.94527732499998</v>
      </c>
      <c r="AT19" s="65">
        <f t="shared" si="31"/>
        <v>171.22376263500001</v>
      </c>
      <c r="AU19" s="65">
        <f t="shared" si="32"/>
        <v>2.7181394875000002</v>
      </c>
      <c r="AV19" s="65">
        <f t="shared" si="33"/>
        <v>0.54362789750000007</v>
      </c>
      <c r="AW19" s="65">
        <f t="shared" si="34"/>
        <v>16.300381334999997</v>
      </c>
      <c r="AX19" s="65">
        <f t="shared" si="35"/>
        <v>74.648425774999993</v>
      </c>
      <c r="AY19" s="65">
        <f t="shared" si="36"/>
        <v>19.024862514999995</v>
      </c>
      <c r="AZ19" s="65">
        <f t="shared" si="37"/>
        <v>24.463255387500002</v>
      </c>
      <c r="BA19" s="86">
        <f t="shared" si="38"/>
        <v>4.8926510775000001</v>
      </c>
      <c r="BB19" s="83">
        <f t="shared" si="39"/>
        <v>170.14109999999999</v>
      </c>
      <c r="BC19" s="67">
        <f t="shared" si="40"/>
        <v>311.92534999999998</v>
      </c>
      <c r="BD19" s="67">
        <f t="shared" si="41"/>
        <v>198.49795</v>
      </c>
      <c r="BE19" s="68">
        <f t="shared" si="42"/>
        <v>28.356850000000001</v>
      </c>
      <c r="BF19" s="68">
        <f t="shared" si="43"/>
        <v>5.6713700000000005</v>
      </c>
      <c r="BG19" s="67">
        <f t="shared" si="44"/>
        <v>22.634386934999998</v>
      </c>
      <c r="BH19" s="67">
        <f t="shared" si="45"/>
        <v>86.880845975</v>
      </c>
      <c r="BI19" s="67">
        <f t="shared" si="46"/>
        <v>26.513184264999996</v>
      </c>
      <c r="BJ19" s="68">
        <f t="shared" si="47"/>
        <v>25.638710512500001</v>
      </c>
      <c r="BK19" s="68">
        <f t="shared" si="48"/>
        <v>5.1277421025000001</v>
      </c>
      <c r="BL19" s="67">
        <f t="shared" si="49"/>
        <v>147.50671306499999</v>
      </c>
      <c r="BM19" s="67">
        <f t="shared" si="50"/>
        <v>225.04450402499998</v>
      </c>
      <c r="BN19" s="67">
        <f t="shared" si="51"/>
        <v>171.98476573500002</v>
      </c>
      <c r="BO19" s="68">
        <f t="shared" si="52"/>
        <v>2.7181394875000002</v>
      </c>
      <c r="BP19" s="76">
        <f t="shared" si="53"/>
        <v>0.54362789750000007</v>
      </c>
      <c r="BQ19" s="33">
        <f>661100*0.6+26400+33000</f>
        <v>456060</v>
      </c>
      <c r="BR19" s="8" t="s">
        <v>6</v>
      </c>
      <c r="BS19" t="s">
        <v>133</v>
      </c>
    </row>
    <row r="20" spans="1:72" s="3" customFormat="1" x14ac:dyDescent="0.25">
      <c r="A20" s="52"/>
      <c r="B20" s="52">
        <v>32</v>
      </c>
      <c r="C20" s="53" t="s">
        <v>73</v>
      </c>
      <c r="D20" s="118">
        <v>6110</v>
      </c>
      <c r="E20" s="103" t="s">
        <v>144</v>
      </c>
      <c r="F20" s="36" t="s">
        <v>250</v>
      </c>
      <c r="G20" s="110">
        <v>5084</v>
      </c>
      <c r="H20" s="110">
        <v>1173</v>
      </c>
      <c r="I20" s="107">
        <f t="shared" si="0"/>
        <v>6257</v>
      </c>
      <c r="J20" s="98">
        <f t="shared" si="1"/>
        <v>0.90342250196695517</v>
      </c>
      <c r="K20" s="99">
        <v>4593</v>
      </c>
      <c r="L20" s="94">
        <f t="shared" si="2"/>
        <v>9.6577498033044842E-2</v>
      </c>
      <c r="M20" s="89">
        <f t="shared" si="3"/>
        <v>491</v>
      </c>
      <c r="N20" s="91">
        <f t="shared" si="4"/>
        <v>10.7529</v>
      </c>
      <c r="O20" s="182">
        <f t="shared" si="5"/>
        <v>19.713650000000001</v>
      </c>
      <c r="P20" s="130">
        <f t="shared" si="6"/>
        <v>12.54505</v>
      </c>
      <c r="Q20" s="130">
        <f t="shared" si="7"/>
        <v>1.7921499999999999</v>
      </c>
      <c r="R20" s="64">
        <f t="shared" si="8"/>
        <v>0.35843000000000003</v>
      </c>
      <c r="S20" s="130">
        <f t="shared" si="9"/>
        <v>0.76883234999999994</v>
      </c>
      <c r="T20" s="130">
        <f t="shared" si="10"/>
        <v>1.0645371000000001</v>
      </c>
      <c r="U20" s="130">
        <f t="shared" si="11"/>
        <v>1.0053961499999999</v>
      </c>
      <c r="V20" s="130">
        <f t="shared" si="12"/>
        <v>0.14785237500000001</v>
      </c>
      <c r="W20" s="130">
        <f t="shared" si="13"/>
        <v>2.9570475000000002E-2</v>
      </c>
      <c r="X20" s="130">
        <f t="shared" si="14"/>
        <v>1.1236780500000001</v>
      </c>
      <c r="Y20" s="130">
        <f t="shared" si="15"/>
        <v>1.5376646999999999</v>
      </c>
      <c r="Z20" s="130">
        <f t="shared" si="16"/>
        <v>1.0645371000000001</v>
      </c>
      <c r="AA20" s="130">
        <f t="shared" si="17"/>
        <v>0</v>
      </c>
      <c r="AB20" s="130">
        <f t="shared" si="18"/>
        <v>0</v>
      </c>
      <c r="AC20" s="181">
        <f t="shared" si="19"/>
        <v>8.8603895999999995</v>
      </c>
      <c r="AD20" s="181">
        <f t="shared" si="20"/>
        <v>17.111448200000002</v>
      </c>
      <c r="AE20" s="181">
        <f t="shared" si="21"/>
        <v>10.47511675</v>
      </c>
      <c r="AF20" s="181">
        <f t="shared" si="22"/>
        <v>1.6442976249999999</v>
      </c>
      <c r="AG20" s="181">
        <f t="shared" si="23"/>
        <v>0.32885952500000004</v>
      </c>
      <c r="AH20" s="85">
        <f t="shared" si="24"/>
        <v>126.2754</v>
      </c>
      <c r="AI20" s="135">
        <f t="shared" si="25"/>
        <v>231.50489999999999</v>
      </c>
      <c r="AJ20" s="135">
        <f t="shared" si="26"/>
        <v>147.32130000000001</v>
      </c>
      <c r="AK20" s="135">
        <f t="shared" si="27"/>
        <v>21.0459</v>
      </c>
      <c r="AL20" s="65">
        <f t="shared" si="28"/>
        <v>4.2091799999999999</v>
      </c>
      <c r="AM20" s="66">
        <v>0.9</v>
      </c>
      <c r="AN20" s="66">
        <v>0.75</v>
      </c>
      <c r="AO20" s="66">
        <v>0.9</v>
      </c>
      <c r="AP20" s="66">
        <v>0.1</v>
      </c>
      <c r="AQ20" s="66">
        <v>0.1</v>
      </c>
      <c r="AR20" s="65">
        <f t="shared" si="29"/>
        <v>114.33980911500001</v>
      </c>
      <c r="AS20" s="65">
        <f t="shared" si="30"/>
        <v>174.427077825</v>
      </c>
      <c r="AT20" s="65">
        <f t="shared" si="31"/>
        <v>133.49402653500002</v>
      </c>
      <c r="AU20" s="65">
        <f t="shared" si="32"/>
        <v>2.1193752374999999</v>
      </c>
      <c r="AV20" s="65">
        <f t="shared" si="33"/>
        <v>0.42387504749999999</v>
      </c>
      <c r="AW20" s="65">
        <f t="shared" si="34"/>
        <v>12.704423234999993</v>
      </c>
      <c r="AX20" s="65">
        <f t="shared" si="35"/>
        <v>58.14235927499999</v>
      </c>
      <c r="AY20" s="65">
        <f t="shared" si="36"/>
        <v>14.832669614999986</v>
      </c>
      <c r="AZ20" s="65">
        <f t="shared" si="37"/>
        <v>19.074377137500001</v>
      </c>
      <c r="BA20" s="86">
        <f t="shared" si="38"/>
        <v>3.8148754274999996</v>
      </c>
      <c r="BB20" s="83">
        <f t="shared" si="39"/>
        <v>137.0283</v>
      </c>
      <c r="BC20" s="67">
        <f t="shared" si="40"/>
        <v>251.21854999999999</v>
      </c>
      <c r="BD20" s="67">
        <f t="shared" si="41"/>
        <v>159.86635000000001</v>
      </c>
      <c r="BE20" s="68">
        <f t="shared" si="42"/>
        <v>22.838049999999999</v>
      </c>
      <c r="BF20" s="68">
        <f t="shared" si="43"/>
        <v>4.5676100000000002</v>
      </c>
      <c r="BG20" s="67">
        <f t="shared" si="44"/>
        <v>21.564812834999991</v>
      </c>
      <c r="BH20" s="67">
        <f t="shared" si="45"/>
        <v>75.253807474999988</v>
      </c>
      <c r="BI20" s="67">
        <f t="shared" si="46"/>
        <v>25.307786364999984</v>
      </c>
      <c r="BJ20" s="68">
        <f t="shared" si="47"/>
        <v>20.718674762500001</v>
      </c>
      <c r="BK20" s="68">
        <f t="shared" si="48"/>
        <v>4.1437349525</v>
      </c>
      <c r="BL20" s="67">
        <f t="shared" si="49"/>
        <v>115.463487165</v>
      </c>
      <c r="BM20" s="67">
        <f t="shared" si="50"/>
        <v>175.96474252499999</v>
      </c>
      <c r="BN20" s="67">
        <f t="shared" si="51"/>
        <v>134.55856363500001</v>
      </c>
      <c r="BO20" s="68">
        <f t="shared" si="52"/>
        <v>2.1193752374999999</v>
      </c>
      <c r="BP20" s="76">
        <f t="shared" si="53"/>
        <v>0.42387504749999999</v>
      </c>
      <c r="BQ20" s="33">
        <f>199232+189399</f>
        <v>388631</v>
      </c>
      <c r="BR20" s="8">
        <v>0</v>
      </c>
      <c r="BS20" t="s">
        <v>129</v>
      </c>
      <c r="BT20"/>
    </row>
    <row r="21" spans="1:72" ht="45" x14ac:dyDescent="0.25">
      <c r="A21" s="52"/>
      <c r="B21" s="52">
        <v>34</v>
      </c>
      <c r="C21" s="53" t="s">
        <v>77</v>
      </c>
      <c r="D21" s="118">
        <v>5990</v>
      </c>
      <c r="E21" s="115" t="s">
        <v>195</v>
      </c>
      <c r="F21" s="40" t="s">
        <v>250</v>
      </c>
      <c r="G21" s="110">
        <v>5275</v>
      </c>
      <c r="H21" s="110">
        <v>388</v>
      </c>
      <c r="I21" s="107">
        <f t="shared" si="0"/>
        <v>5663</v>
      </c>
      <c r="J21" s="98">
        <f t="shared" si="1"/>
        <v>1</v>
      </c>
      <c r="K21" s="99">
        <v>5275</v>
      </c>
      <c r="L21" s="94">
        <f t="shared" si="2"/>
        <v>0</v>
      </c>
      <c r="M21" s="89">
        <f t="shared" si="3"/>
        <v>0</v>
      </c>
      <c r="N21" s="91">
        <f t="shared" si="4"/>
        <v>0</v>
      </c>
      <c r="O21" s="182">
        <f t="shared" si="5"/>
        <v>0</v>
      </c>
      <c r="P21" s="130">
        <f t="shared" si="6"/>
        <v>0</v>
      </c>
      <c r="Q21" s="130">
        <f t="shared" si="7"/>
        <v>0</v>
      </c>
      <c r="R21" s="64">
        <f t="shared" si="8"/>
        <v>0</v>
      </c>
      <c r="S21" s="130">
        <f t="shared" si="9"/>
        <v>0</v>
      </c>
      <c r="T21" s="130">
        <f t="shared" si="10"/>
        <v>0</v>
      </c>
      <c r="U21" s="130">
        <f t="shared" si="11"/>
        <v>0</v>
      </c>
      <c r="V21" s="130">
        <f t="shared" si="12"/>
        <v>0</v>
      </c>
      <c r="W21" s="130">
        <f t="shared" si="13"/>
        <v>0</v>
      </c>
      <c r="X21" s="130">
        <f t="shared" si="14"/>
        <v>0</v>
      </c>
      <c r="Y21" s="130">
        <f t="shared" si="15"/>
        <v>0</v>
      </c>
      <c r="Z21" s="130">
        <f t="shared" si="16"/>
        <v>0</v>
      </c>
      <c r="AA21" s="130">
        <f t="shared" si="17"/>
        <v>0</v>
      </c>
      <c r="AB21" s="130">
        <f t="shared" si="18"/>
        <v>0</v>
      </c>
      <c r="AC21" s="181">
        <f t="shared" si="19"/>
        <v>0</v>
      </c>
      <c r="AD21" s="181">
        <f t="shared" si="20"/>
        <v>0</v>
      </c>
      <c r="AE21" s="181">
        <f t="shared" si="21"/>
        <v>0</v>
      </c>
      <c r="AF21" s="181">
        <f t="shared" si="22"/>
        <v>0</v>
      </c>
      <c r="AG21" s="181">
        <f t="shared" si="23"/>
        <v>0</v>
      </c>
      <c r="AH21" s="85">
        <f t="shared" si="24"/>
        <v>124.0197</v>
      </c>
      <c r="AI21" s="135">
        <f t="shared" si="25"/>
        <v>227.36945</v>
      </c>
      <c r="AJ21" s="135">
        <f t="shared" si="26"/>
        <v>144.68965</v>
      </c>
      <c r="AK21" s="135">
        <f t="shared" si="27"/>
        <v>20.66995</v>
      </c>
      <c r="AL21" s="65">
        <f t="shared" si="28"/>
        <v>4.1339899999999998</v>
      </c>
      <c r="AM21" s="66">
        <v>0.9</v>
      </c>
      <c r="AN21" s="66">
        <v>0.75</v>
      </c>
      <c r="AO21" s="66">
        <v>0.9</v>
      </c>
      <c r="AP21" s="66">
        <v>0.1</v>
      </c>
      <c r="AQ21" s="66">
        <v>0.1</v>
      </c>
      <c r="AR21" s="65">
        <f t="shared" si="29"/>
        <v>111.61773000000001</v>
      </c>
      <c r="AS21" s="65">
        <f t="shared" si="30"/>
        <v>170.52708749999999</v>
      </c>
      <c r="AT21" s="65">
        <f t="shared" si="31"/>
        <v>130.220685</v>
      </c>
      <c r="AU21" s="65">
        <f t="shared" si="32"/>
        <v>2.0669949999999999</v>
      </c>
      <c r="AV21" s="65">
        <f t="shared" si="33"/>
        <v>0.41339900000000002</v>
      </c>
      <c r="AW21" s="65">
        <f t="shared" si="34"/>
        <v>12.401969999999992</v>
      </c>
      <c r="AX21" s="65">
        <f t="shared" si="35"/>
        <v>56.842362500000007</v>
      </c>
      <c r="AY21" s="65">
        <f t="shared" si="36"/>
        <v>14.468964999999997</v>
      </c>
      <c r="AZ21" s="65">
        <f t="shared" si="37"/>
        <v>18.602955000000001</v>
      </c>
      <c r="BA21" s="86">
        <f t="shared" si="38"/>
        <v>3.7205909999999998</v>
      </c>
      <c r="BB21" s="83">
        <f t="shared" si="39"/>
        <v>124.0197</v>
      </c>
      <c r="BC21" s="67">
        <f t="shared" si="40"/>
        <v>227.36945</v>
      </c>
      <c r="BD21" s="67">
        <f t="shared" si="41"/>
        <v>144.68965</v>
      </c>
      <c r="BE21" s="68">
        <f t="shared" si="42"/>
        <v>20.66995</v>
      </c>
      <c r="BF21" s="68">
        <f t="shared" si="43"/>
        <v>4.1339899999999998</v>
      </c>
      <c r="BG21" s="67">
        <f t="shared" si="44"/>
        <v>12.401969999999992</v>
      </c>
      <c r="BH21" s="67">
        <f t="shared" si="45"/>
        <v>56.842362500000007</v>
      </c>
      <c r="BI21" s="67">
        <f t="shared" si="46"/>
        <v>14.468964999999997</v>
      </c>
      <c r="BJ21" s="68">
        <f t="shared" si="47"/>
        <v>18.602955000000001</v>
      </c>
      <c r="BK21" s="68">
        <f t="shared" si="48"/>
        <v>3.7205909999999998</v>
      </c>
      <c r="BL21" s="67">
        <f t="shared" si="49"/>
        <v>111.61773000000001</v>
      </c>
      <c r="BM21" s="67">
        <f t="shared" si="50"/>
        <v>170.52708749999999</v>
      </c>
      <c r="BN21" s="67">
        <f t="shared" si="51"/>
        <v>130.220685</v>
      </c>
      <c r="BO21" s="68">
        <f t="shared" si="52"/>
        <v>2.0669949999999999</v>
      </c>
      <c r="BP21" s="76">
        <f t="shared" si="53"/>
        <v>0.41339900000000002</v>
      </c>
      <c r="BQ21" s="33">
        <v>0</v>
      </c>
      <c r="BR21" s="8">
        <v>913100</v>
      </c>
      <c r="BS21" t="s">
        <v>129</v>
      </c>
    </row>
    <row r="22" spans="1:72" ht="58.5" customHeight="1" x14ac:dyDescent="0.25">
      <c r="A22" s="52"/>
      <c r="B22" s="52">
        <v>43</v>
      </c>
      <c r="C22" s="53" t="s">
        <v>85</v>
      </c>
      <c r="D22" s="118">
        <v>3819</v>
      </c>
      <c r="E22" s="115" t="s">
        <v>148</v>
      </c>
      <c r="F22" s="40" t="s">
        <v>250</v>
      </c>
      <c r="G22" s="110">
        <v>3989</v>
      </c>
      <c r="H22" s="111">
        <v>0</v>
      </c>
      <c r="I22" s="107">
        <f t="shared" si="0"/>
        <v>3989</v>
      </c>
      <c r="J22" s="98">
        <f t="shared" si="1"/>
        <v>0.79719227876660814</v>
      </c>
      <c r="K22" s="99">
        <v>3180</v>
      </c>
      <c r="L22" s="94">
        <f t="shared" si="2"/>
        <v>0.20280772123339183</v>
      </c>
      <c r="M22" s="89">
        <f t="shared" si="3"/>
        <v>809</v>
      </c>
      <c r="N22" s="91">
        <f t="shared" si="4"/>
        <v>17.717099999999999</v>
      </c>
      <c r="O22" s="182">
        <f t="shared" si="5"/>
        <v>32.481349999999999</v>
      </c>
      <c r="P22" s="130">
        <f t="shared" si="6"/>
        <v>20.66995</v>
      </c>
      <c r="Q22" s="130">
        <f t="shared" si="7"/>
        <v>2.9528500000000002</v>
      </c>
      <c r="R22" s="64">
        <f t="shared" si="8"/>
        <v>0.59057000000000004</v>
      </c>
      <c r="S22" s="130">
        <f t="shared" si="9"/>
        <v>1.2667726500000001</v>
      </c>
      <c r="T22" s="130">
        <f t="shared" si="10"/>
        <v>1.7539929000000001</v>
      </c>
      <c r="U22" s="130">
        <f t="shared" si="11"/>
        <v>1.6565488500000001</v>
      </c>
      <c r="V22" s="130">
        <f t="shared" si="12"/>
        <v>0.24361012500000004</v>
      </c>
      <c r="W22" s="130">
        <f t="shared" si="13"/>
        <v>4.8722025000000002E-2</v>
      </c>
      <c r="X22" s="130">
        <f t="shared" si="14"/>
        <v>1.8514369500000001</v>
      </c>
      <c r="Y22" s="130">
        <f t="shared" si="15"/>
        <v>2.5335453000000001</v>
      </c>
      <c r="Z22" s="130">
        <f t="shared" si="16"/>
        <v>1.7539929000000001</v>
      </c>
      <c r="AA22" s="130">
        <f t="shared" si="17"/>
        <v>0</v>
      </c>
      <c r="AB22" s="130">
        <f t="shared" si="18"/>
        <v>0</v>
      </c>
      <c r="AC22" s="181">
        <f t="shared" si="19"/>
        <v>14.598890399999998</v>
      </c>
      <c r="AD22" s="181">
        <f t="shared" si="20"/>
        <v>28.193811799999999</v>
      </c>
      <c r="AE22" s="181">
        <f t="shared" si="21"/>
        <v>17.25940825</v>
      </c>
      <c r="AF22" s="181">
        <f t="shared" si="22"/>
        <v>2.7092398750000002</v>
      </c>
      <c r="AG22" s="181">
        <f t="shared" si="23"/>
        <v>0.54184797500000004</v>
      </c>
      <c r="AH22" s="85">
        <f t="shared" si="24"/>
        <v>69.641999999999996</v>
      </c>
      <c r="AI22" s="135">
        <f t="shared" si="25"/>
        <v>127.67700000000001</v>
      </c>
      <c r="AJ22" s="135">
        <f t="shared" si="26"/>
        <v>81.248999999999995</v>
      </c>
      <c r="AK22" s="135">
        <f t="shared" si="27"/>
        <v>11.606999999999999</v>
      </c>
      <c r="AL22" s="65">
        <f t="shared" si="28"/>
        <v>2.3214000000000001</v>
      </c>
      <c r="AM22" s="66">
        <v>0.9</v>
      </c>
      <c r="AN22" s="66">
        <v>0.75</v>
      </c>
      <c r="AO22" s="66">
        <v>0.9</v>
      </c>
      <c r="AP22" s="66">
        <v>0.1</v>
      </c>
      <c r="AQ22" s="66">
        <v>0.1</v>
      </c>
      <c r="AR22" s="65">
        <f t="shared" si="29"/>
        <v>63.817895385000007</v>
      </c>
      <c r="AS22" s="65">
        <f t="shared" si="30"/>
        <v>97.073244675000012</v>
      </c>
      <c r="AT22" s="65">
        <f t="shared" si="31"/>
        <v>74.614993965000011</v>
      </c>
      <c r="AU22" s="65">
        <f t="shared" si="32"/>
        <v>1.1850610125000001</v>
      </c>
      <c r="AV22" s="65">
        <f t="shared" si="33"/>
        <v>0.23701220250000002</v>
      </c>
      <c r="AW22" s="65">
        <f t="shared" si="34"/>
        <v>7.090877264999996</v>
      </c>
      <c r="AX22" s="65">
        <f t="shared" si="35"/>
        <v>32.357748224999995</v>
      </c>
      <c r="AY22" s="65">
        <f t="shared" si="36"/>
        <v>8.2905548849999917</v>
      </c>
      <c r="AZ22" s="65">
        <f t="shared" si="37"/>
        <v>10.665549112499999</v>
      </c>
      <c r="BA22" s="86">
        <f t="shared" si="38"/>
        <v>2.1331098225000003</v>
      </c>
      <c r="BB22" s="83">
        <f t="shared" si="39"/>
        <v>87.359099999999998</v>
      </c>
      <c r="BC22" s="67">
        <f t="shared" si="40"/>
        <v>160.15835000000001</v>
      </c>
      <c r="BD22" s="67">
        <f t="shared" si="41"/>
        <v>101.91895</v>
      </c>
      <c r="BE22" s="68">
        <f t="shared" si="42"/>
        <v>14.559849999999999</v>
      </c>
      <c r="BF22" s="68">
        <f t="shared" si="43"/>
        <v>2.9119700000000002</v>
      </c>
      <c r="BG22" s="67">
        <f t="shared" si="44"/>
        <v>21.689767664999994</v>
      </c>
      <c r="BH22" s="67">
        <f t="shared" si="45"/>
        <v>60.551560024999993</v>
      </c>
      <c r="BI22" s="67">
        <f t="shared" si="46"/>
        <v>25.549963134999992</v>
      </c>
      <c r="BJ22" s="68">
        <f t="shared" si="47"/>
        <v>13.374788987499999</v>
      </c>
      <c r="BK22" s="68">
        <f t="shared" si="48"/>
        <v>2.6749577975000003</v>
      </c>
      <c r="BL22" s="67">
        <f t="shared" si="49"/>
        <v>65.669332335000007</v>
      </c>
      <c r="BM22" s="67">
        <f t="shared" si="50"/>
        <v>99.606789975000012</v>
      </c>
      <c r="BN22" s="67">
        <f t="shared" si="51"/>
        <v>76.368986865000011</v>
      </c>
      <c r="BO22" s="68">
        <f t="shared" si="52"/>
        <v>1.1850610125000001</v>
      </c>
      <c r="BP22" s="76">
        <f t="shared" si="53"/>
        <v>0.23701220250000002</v>
      </c>
      <c r="BQ22" s="33">
        <v>1273920</v>
      </c>
      <c r="BR22" s="8">
        <v>317000</v>
      </c>
      <c r="BS22" t="s">
        <v>129</v>
      </c>
    </row>
    <row r="23" spans="1:72" x14ac:dyDescent="0.25">
      <c r="A23" s="52"/>
      <c r="B23" s="52">
        <v>47</v>
      </c>
      <c r="C23" s="53" t="s">
        <v>92</v>
      </c>
      <c r="D23" s="118">
        <v>3343</v>
      </c>
      <c r="E23" s="115" t="s">
        <v>11</v>
      </c>
      <c r="F23" s="40" t="s">
        <v>250</v>
      </c>
      <c r="G23" s="110">
        <v>3732</v>
      </c>
      <c r="H23" s="111">
        <v>81</v>
      </c>
      <c r="I23" s="107">
        <f t="shared" si="0"/>
        <v>3813</v>
      </c>
      <c r="J23" s="98">
        <f t="shared" si="1"/>
        <v>0.69989281886388</v>
      </c>
      <c r="K23" s="99">
        <v>2612</v>
      </c>
      <c r="L23" s="94">
        <f t="shared" si="2"/>
        <v>0.30010718113612006</v>
      </c>
      <c r="M23" s="89">
        <f t="shared" si="3"/>
        <v>1120</v>
      </c>
      <c r="N23" s="91">
        <f t="shared" si="4"/>
        <v>24.527999999999999</v>
      </c>
      <c r="O23" s="182">
        <f t="shared" si="5"/>
        <v>44.968000000000004</v>
      </c>
      <c r="P23" s="130">
        <f t="shared" si="6"/>
        <v>28.616</v>
      </c>
      <c r="Q23" s="130">
        <f t="shared" si="7"/>
        <v>4.0880000000000001</v>
      </c>
      <c r="R23" s="64">
        <f t="shared" si="8"/>
        <v>0.81759999999999999</v>
      </c>
      <c r="S23" s="130">
        <f t="shared" si="9"/>
        <v>1.753752</v>
      </c>
      <c r="T23" s="130">
        <f t="shared" si="10"/>
        <v>2.4282719999999998</v>
      </c>
      <c r="U23" s="130">
        <f t="shared" si="11"/>
        <v>2.2933680000000001</v>
      </c>
      <c r="V23" s="130">
        <f t="shared" si="12"/>
        <v>0.33726</v>
      </c>
      <c r="W23" s="130">
        <f t="shared" si="13"/>
        <v>6.7451999999999998E-2</v>
      </c>
      <c r="X23" s="130">
        <f t="shared" si="14"/>
        <v>2.5631759999999999</v>
      </c>
      <c r="Y23" s="130">
        <f t="shared" si="15"/>
        <v>3.507504</v>
      </c>
      <c r="Z23" s="130">
        <f t="shared" si="16"/>
        <v>2.4282719999999998</v>
      </c>
      <c r="AA23" s="130">
        <f t="shared" si="17"/>
        <v>0</v>
      </c>
      <c r="AB23" s="130">
        <f t="shared" si="18"/>
        <v>0</v>
      </c>
      <c r="AC23" s="181">
        <f t="shared" si="19"/>
        <v>20.211072000000001</v>
      </c>
      <c r="AD23" s="181">
        <f t="shared" si="20"/>
        <v>39.032224000000006</v>
      </c>
      <c r="AE23" s="181">
        <f t="shared" si="21"/>
        <v>23.894359999999999</v>
      </c>
      <c r="AF23" s="181">
        <f t="shared" si="22"/>
        <v>3.75074</v>
      </c>
      <c r="AG23" s="181">
        <f t="shared" si="23"/>
        <v>0.75014800000000004</v>
      </c>
      <c r="AH23" s="85">
        <f t="shared" si="24"/>
        <v>58.976700000000001</v>
      </c>
      <c r="AI23" s="135">
        <f t="shared" si="25"/>
        <v>108.12394999999999</v>
      </c>
      <c r="AJ23" s="135">
        <f t="shared" si="26"/>
        <v>68.806150000000002</v>
      </c>
      <c r="AK23" s="135">
        <f t="shared" si="27"/>
        <v>9.8294499999999996</v>
      </c>
      <c r="AL23" s="65">
        <f t="shared" si="28"/>
        <v>1.9658899999999999</v>
      </c>
      <c r="AM23" s="66">
        <v>0.9</v>
      </c>
      <c r="AN23" s="66">
        <v>0.75</v>
      </c>
      <c r="AO23" s="66">
        <v>0.9</v>
      </c>
      <c r="AP23" s="66">
        <v>0.1</v>
      </c>
      <c r="AQ23" s="66">
        <v>0.1</v>
      </c>
      <c r="AR23" s="65">
        <f t="shared" si="29"/>
        <v>54.657406800000004</v>
      </c>
      <c r="AS23" s="65">
        <f t="shared" si="30"/>
        <v>82.914166499999993</v>
      </c>
      <c r="AT23" s="65">
        <f t="shared" si="31"/>
        <v>63.989566200000006</v>
      </c>
      <c r="AU23" s="65">
        <f t="shared" si="32"/>
        <v>1.0166710000000001</v>
      </c>
      <c r="AV23" s="65">
        <f t="shared" si="33"/>
        <v>0.20333419999999999</v>
      </c>
      <c r="AW23" s="65">
        <f t="shared" si="34"/>
        <v>6.0730451999999957</v>
      </c>
      <c r="AX23" s="65">
        <f t="shared" si="35"/>
        <v>27.638055500000007</v>
      </c>
      <c r="AY23" s="65">
        <f t="shared" si="36"/>
        <v>7.1099517999999975</v>
      </c>
      <c r="AZ23" s="65">
        <f t="shared" si="37"/>
        <v>9.1500389999999996</v>
      </c>
      <c r="BA23" s="86">
        <f t="shared" si="38"/>
        <v>1.8300077999999997</v>
      </c>
      <c r="BB23" s="83">
        <f t="shared" si="39"/>
        <v>83.5047</v>
      </c>
      <c r="BC23" s="67">
        <f t="shared" si="40"/>
        <v>153.09195</v>
      </c>
      <c r="BD23" s="67">
        <f t="shared" si="41"/>
        <v>97.422150000000002</v>
      </c>
      <c r="BE23" s="68">
        <f t="shared" si="42"/>
        <v>13.917449999999999</v>
      </c>
      <c r="BF23" s="68">
        <f t="shared" si="43"/>
        <v>2.78349</v>
      </c>
      <c r="BG23" s="67">
        <f t="shared" si="44"/>
        <v>26.284117199999997</v>
      </c>
      <c r="BH23" s="67">
        <f t="shared" si="45"/>
        <v>66.670279500000021</v>
      </c>
      <c r="BI23" s="67">
        <f t="shared" si="46"/>
        <v>31.004311799999996</v>
      </c>
      <c r="BJ23" s="68">
        <f t="shared" si="47"/>
        <v>12.900779</v>
      </c>
      <c r="BK23" s="68">
        <f t="shared" si="48"/>
        <v>2.5801558</v>
      </c>
      <c r="BL23" s="67">
        <f t="shared" si="49"/>
        <v>57.220582800000003</v>
      </c>
      <c r="BM23" s="67">
        <f t="shared" si="50"/>
        <v>86.421670499999991</v>
      </c>
      <c r="BN23" s="67">
        <f t="shared" si="51"/>
        <v>66.417838200000006</v>
      </c>
      <c r="BO23" s="68">
        <f t="shared" si="52"/>
        <v>1.0166710000000001</v>
      </c>
      <c r="BP23" s="76">
        <f t="shared" si="53"/>
        <v>0.20333419999999999</v>
      </c>
      <c r="BQ23" s="33">
        <v>763250</v>
      </c>
      <c r="BR23" s="8">
        <v>74000</v>
      </c>
      <c r="BS23" t="s">
        <v>129</v>
      </c>
    </row>
    <row r="24" spans="1:72" x14ac:dyDescent="0.25">
      <c r="A24" s="52"/>
      <c r="B24" s="52">
        <v>50</v>
      </c>
      <c r="C24" s="53" t="s">
        <v>95</v>
      </c>
      <c r="D24" s="118">
        <v>3106</v>
      </c>
      <c r="E24" s="103" t="s">
        <v>150</v>
      </c>
      <c r="F24" s="36" t="s">
        <v>250</v>
      </c>
      <c r="G24" s="110">
        <v>3315</v>
      </c>
      <c r="H24" s="111">
        <v>429</v>
      </c>
      <c r="I24" s="107">
        <f t="shared" si="0"/>
        <v>3744</v>
      </c>
      <c r="J24" s="98">
        <f t="shared" si="1"/>
        <v>0.74992458521870287</v>
      </c>
      <c r="K24" s="99">
        <v>2486</v>
      </c>
      <c r="L24" s="94">
        <f t="shared" si="2"/>
        <v>0.25007541478129713</v>
      </c>
      <c r="M24" s="89">
        <f t="shared" si="3"/>
        <v>829</v>
      </c>
      <c r="N24" s="91">
        <f t="shared" si="4"/>
        <v>18.155100000000001</v>
      </c>
      <c r="O24" s="182">
        <f t="shared" si="5"/>
        <v>33.284350000000003</v>
      </c>
      <c r="P24" s="130">
        <f t="shared" si="6"/>
        <v>21.180949999999999</v>
      </c>
      <c r="Q24" s="130">
        <f t="shared" si="7"/>
        <v>3.0258500000000002</v>
      </c>
      <c r="R24" s="64">
        <f t="shared" si="8"/>
        <v>0.60516999999999999</v>
      </c>
      <c r="S24" s="130">
        <f t="shared" si="9"/>
        <v>1.2980896500000001</v>
      </c>
      <c r="T24" s="130">
        <f t="shared" si="10"/>
        <v>1.7973549000000002</v>
      </c>
      <c r="U24" s="130">
        <f t="shared" si="11"/>
        <v>1.6975018500000003</v>
      </c>
      <c r="V24" s="130">
        <f t="shared" si="12"/>
        <v>0.24963262500000002</v>
      </c>
      <c r="W24" s="130">
        <f t="shared" si="13"/>
        <v>4.9926524999999999E-2</v>
      </c>
      <c r="X24" s="130">
        <f t="shared" si="14"/>
        <v>1.8972079500000001</v>
      </c>
      <c r="Y24" s="130">
        <f t="shared" si="15"/>
        <v>2.5961793000000002</v>
      </c>
      <c r="Z24" s="130">
        <f t="shared" si="16"/>
        <v>1.7973549000000002</v>
      </c>
      <c r="AA24" s="130">
        <f t="shared" si="17"/>
        <v>0</v>
      </c>
      <c r="AB24" s="130">
        <f t="shared" si="18"/>
        <v>0</v>
      </c>
      <c r="AC24" s="181">
        <f t="shared" si="19"/>
        <v>14.959802399999999</v>
      </c>
      <c r="AD24" s="181">
        <f t="shared" si="20"/>
        <v>28.890815800000002</v>
      </c>
      <c r="AE24" s="181">
        <f t="shared" si="21"/>
        <v>17.686093249999999</v>
      </c>
      <c r="AF24" s="181">
        <f t="shared" si="22"/>
        <v>2.7762173750000003</v>
      </c>
      <c r="AG24" s="181">
        <f t="shared" si="23"/>
        <v>0.55524347499999993</v>
      </c>
      <c r="AH24" s="85">
        <f t="shared" si="24"/>
        <v>63.838500000000003</v>
      </c>
      <c r="AI24" s="135">
        <f t="shared" si="25"/>
        <v>117.03725</v>
      </c>
      <c r="AJ24" s="135">
        <f t="shared" si="26"/>
        <v>74.478250000000003</v>
      </c>
      <c r="AK24" s="135">
        <f t="shared" si="27"/>
        <v>10.639749999999999</v>
      </c>
      <c r="AL24" s="65">
        <f t="shared" si="28"/>
        <v>2.1279499999999998</v>
      </c>
      <c r="AM24" s="66">
        <v>0.9</v>
      </c>
      <c r="AN24" s="66">
        <v>0.75</v>
      </c>
      <c r="AO24" s="66">
        <v>0.9</v>
      </c>
      <c r="AP24" s="66">
        <v>0.1</v>
      </c>
      <c r="AQ24" s="66">
        <v>0.1</v>
      </c>
      <c r="AR24" s="65">
        <f t="shared" si="29"/>
        <v>58.622930685000007</v>
      </c>
      <c r="AS24" s="65">
        <f t="shared" si="30"/>
        <v>89.125953675000005</v>
      </c>
      <c r="AT24" s="65">
        <f t="shared" si="31"/>
        <v>68.558176665000005</v>
      </c>
      <c r="AU24" s="65">
        <f t="shared" si="32"/>
        <v>1.0889382624999999</v>
      </c>
      <c r="AV24" s="65">
        <f t="shared" si="33"/>
        <v>0.21778765249999998</v>
      </c>
      <c r="AW24" s="65">
        <f t="shared" si="34"/>
        <v>6.5136589649999976</v>
      </c>
      <c r="AX24" s="65">
        <f t="shared" si="35"/>
        <v>29.708651224999997</v>
      </c>
      <c r="AY24" s="65">
        <f t="shared" si="36"/>
        <v>7.6175751849999926</v>
      </c>
      <c r="AZ24" s="65">
        <f t="shared" si="37"/>
        <v>9.8004443625000004</v>
      </c>
      <c r="BA24" s="86">
        <f t="shared" si="38"/>
        <v>1.9600888724999999</v>
      </c>
      <c r="BB24" s="83">
        <f t="shared" si="39"/>
        <v>81.993600000000001</v>
      </c>
      <c r="BC24" s="67">
        <f t="shared" si="40"/>
        <v>150.32159999999999</v>
      </c>
      <c r="BD24" s="67">
        <f t="shared" si="41"/>
        <v>95.659199999999998</v>
      </c>
      <c r="BE24" s="68">
        <f t="shared" si="42"/>
        <v>13.6656</v>
      </c>
      <c r="BF24" s="68">
        <f t="shared" si="43"/>
        <v>2.7331199999999995</v>
      </c>
      <c r="BG24" s="67">
        <f t="shared" si="44"/>
        <v>21.473461364999999</v>
      </c>
      <c r="BH24" s="67">
        <f t="shared" si="45"/>
        <v>58.599467024999996</v>
      </c>
      <c r="BI24" s="67">
        <f t="shared" si="46"/>
        <v>25.303668434999992</v>
      </c>
      <c r="BJ24" s="68">
        <f t="shared" si="47"/>
        <v>12.5766617375</v>
      </c>
      <c r="BK24" s="68">
        <f t="shared" si="48"/>
        <v>2.5153323474999998</v>
      </c>
      <c r="BL24" s="67">
        <f t="shared" si="49"/>
        <v>60.520138635000009</v>
      </c>
      <c r="BM24" s="67">
        <f t="shared" si="50"/>
        <v>91.722132975000008</v>
      </c>
      <c r="BN24" s="67">
        <f t="shared" si="51"/>
        <v>70.355531565000007</v>
      </c>
      <c r="BO24" s="68">
        <f t="shared" si="52"/>
        <v>1.0889382624999999</v>
      </c>
      <c r="BP24" s="76">
        <f t="shared" si="53"/>
        <v>0.21778765249999998</v>
      </c>
      <c r="BQ24" s="33">
        <v>996000</v>
      </c>
      <c r="BR24" s="8">
        <v>500000</v>
      </c>
      <c r="BS24" t="s">
        <v>129</v>
      </c>
    </row>
    <row r="25" spans="1:72" x14ac:dyDescent="0.25">
      <c r="A25" s="52"/>
      <c r="B25" s="52">
        <v>54</v>
      </c>
      <c r="C25" s="53" t="s">
        <v>104</v>
      </c>
      <c r="D25" s="118">
        <v>2898</v>
      </c>
      <c r="E25" s="103" t="s">
        <v>202</v>
      </c>
      <c r="F25" s="36" t="s">
        <v>250</v>
      </c>
      <c r="G25" s="110">
        <v>3287</v>
      </c>
      <c r="H25" s="111">
        <v>401</v>
      </c>
      <c r="I25" s="107">
        <f t="shared" si="0"/>
        <v>3688</v>
      </c>
      <c r="J25" s="98">
        <f t="shared" si="1"/>
        <v>1</v>
      </c>
      <c r="K25" s="99">
        <v>3287</v>
      </c>
      <c r="L25" s="94">
        <f t="shared" si="2"/>
        <v>0</v>
      </c>
      <c r="M25" s="89">
        <f t="shared" si="3"/>
        <v>0</v>
      </c>
      <c r="N25" s="91">
        <f t="shared" si="4"/>
        <v>0</v>
      </c>
      <c r="O25" s="182">
        <f t="shared" si="5"/>
        <v>0</v>
      </c>
      <c r="P25" s="130">
        <f t="shared" si="6"/>
        <v>0</v>
      </c>
      <c r="Q25" s="130">
        <f t="shared" si="7"/>
        <v>0</v>
      </c>
      <c r="R25" s="64">
        <f t="shared" si="8"/>
        <v>0</v>
      </c>
      <c r="S25" s="130">
        <f t="shared" si="9"/>
        <v>0</v>
      </c>
      <c r="T25" s="130">
        <f t="shared" si="10"/>
        <v>0</v>
      </c>
      <c r="U25" s="130">
        <f t="shared" si="11"/>
        <v>0</v>
      </c>
      <c r="V25" s="130">
        <f t="shared" si="12"/>
        <v>0</v>
      </c>
      <c r="W25" s="130">
        <f t="shared" si="13"/>
        <v>0</v>
      </c>
      <c r="X25" s="130">
        <f t="shared" si="14"/>
        <v>0</v>
      </c>
      <c r="Y25" s="130">
        <f t="shared" si="15"/>
        <v>0</v>
      </c>
      <c r="Z25" s="130">
        <f t="shared" si="16"/>
        <v>0</v>
      </c>
      <c r="AA25" s="130">
        <f t="shared" si="17"/>
        <v>0</v>
      </c>
      <c r="AB25" s="130">
        <f t="shared" si="18"/>
        <v>0</v>
      </c>
      <c r="AC25" s="181">
        <f t="shared" si="19"/>
        <v>0</v>
      </c>
      <c r="AD25" s="181">
        <f t="shared" si="20"/>
        <v>0</v>
      </c>
      <c r="AE25" s="181">
        <f t="shared" si="21"/>
        <v>0</v>
      </c>
      <c r="AF25" s="181">
        <f t="shared" si="22"/>
        <v>0</v>
      </c>
      <c r="AG25" s="181">
        <f t="shared" si="23"/>
        <v>0</v>
      </c>
      <c r="AH25" s="85">
        <f t="shared" si="24"/>
        <v>80.767200000000003</v>
      </c>
      <c r="AI25" s="135">
        <f t="shared" si="25"/>
        <v>148.07320000000001</v>
      </c>
      <c r="AJ25" s="135">
        <f t="shared" si="26"/>
        <v>94.228399999999993</v>
      </c>
      <c r="AK25" s="135">
        <f t="shared" si="27"/>
        <v>13.4612</v>
      </c>
      <c r="AL25" s="65">
        <f t="shared" si="28"/>
        <v>2.69224</v>
      </c>
      <c r="AM25" s="66">
        <v>0.9</v>
      </c>
      <c r="AN25" s="66">
        <v>0.75</v>
      </c>
      <c r="AO25" s="66">
        <v>0.9</v>
      </c>
      <c r="AP25" s="66">
        <v>0.1</v>
      </c>
      <c r="AQ25" s="66">
        <v>0.1</v>
      </c>
      <c r="AR25" s="65">
        <f t="shared" si="29"/>
        <v>72.690480000000008</v>
      </c>
      <c r="AS25" s="65">
        <f t="shared" si="30"/>
        <v>111.0549</v>
      </c>
      <c r="AT25" s="65">
        <f t="shared" si="31"/>
        <v>84.80556</v>
      </c>
      <c r="AU25" s="65">
        <f t="shared" si="32"/>
        <v>1.34612</v>
      </c>
      <c r="AV25" s="65">
        <f t="shared" si="33"/>
        <v>0.26922400000000002</v>
      </c>
      <c r="AW25" s="65">
        <f t="shared" si="34"/>
        <v>8.0767199999999946</v>
      </c>
      <c r="AX25" s="65">
        <f t="shared" si="35"/>
        <v>37.018300000000011</v>
      </c>
      <c r="AY25" s="65">
        <f t="shared" si="36"/>
        <v>9.4228399999999937</v>
      </c>
      <c r="AZ25" s="65">
        <f t="shared" si="37"/>
        <v>12.115079999999999</v>
      </c>
      <c r="BA25" s="86">
        <f t="shared" si="38"/>
        <v>2.4230160000000001</v>
      </c>
      <c r="BB25" s="83">
        <f t="shared" si="39"/>
        <v>80.767200000000003</v>
      </c>
      <c r="BC25" s="67">
        <f t="shared" si="40"/>
        <v>148.07320000000001</v>
      </c>
      <c r="BD25" s="67">
        <f t="shared" si="41"/>
        <v>94.228399999999993</v>
      </c>
      <c r="BE25" s="68">
        <f t="shared" si="42"/>
        <v>13.4612</v>
      </c>
      <c r="BF25" s="68">
        <f t="shared" si="43"/>
        <v>2.69224</v>
      </c>
      <c r="BG25" s="67">
        <f t="shared" si="44"/>
        <v>8.0767199999999946</v>
      </c>
      <c r="BH25" s="67">
        <f t="shared" si="45"/>
        <v>37.018300000000011</v>
      </c>
      <c r="BI25" s="67">
        <f t="shared" si="46"/>
        <v>9.4228399999999937</v>
      </c>
      <c r="BJ25" s="68">
        <f t="shared" si="47"/>
        <v>12.115079999999999</v>
      </c>
      <c r="BK25" s="68">
        <f t="shared" si="48"/>
        <v>2.4230160000000001</v>
      </c>
      <c r="BL25" s="67">
        <f t="shared" si="49"/>
        <v>72.690480000000008</v>
      </c>
      <c r="BM25" s="67">
        <f t="shared" si="50"/>
        <v>111.0549</v>
      </c>
      <c r="BN25" s="67">
        <f t="shared" si="51"/>
        <v>84.80556</v>
      </c>
      <c r="BO25" s="68">
        <f t="shared" si="52"/>
        <v>1.34612</v>
      </c>
      <c r="BP25" s="76">
        <f t="shared" si="53"/>
        <v>0.26922400000000002</v>
      </c>
      <c r="BQ25" s="33">
        <v>0</v>
      </c>
      <c r="BR25" s="8">
        <v>0</v>
      </c>
      <c r="BS25" t="s">
        <v>129</v>
      </c>
    </row>
    <row r="26" spans="1:72" x14ac:dyDescent="0.25">
      <c r="A26" s="52"/>
      <c r="B26" s="52">
        <v>55</v>
      </c>
      <c r="C26" s="53" t="s">
        <v>96</v>
      </c>
      <c r="D26" s="118">
        <v>2873</v>
      </c>
      <c r="E26" s="103" t="s">
        <v>11</v>
      </c>
      <c r="F26" s="36" t="s">
        <v>250</v>
      </c>
      <c r="G26" s="110">
        <v>2003</v>
      </c>
      <c r="H26" s="111">
        <v>201</v>
      </c>
      <c r="I26" s="107">
        <f t="shared" si="0"/>
        <v>2204</v>
      </c>
      <c r="J26" s="98">
        <f t="shared" si="1"/>
        <v>1</v>
      </c>
      <c r="K26" s="99">
        <v>2003</v>
      </c>
      <c r="L26" s="94">
        <f t="shared" si="2"/>
        <v>0</v>
      </c>
      <c r="M26" s="89">
        <f t="shared" si="3"/>
        <v>0</v>
      </c>
      <c r="N26" s="91">
        <f t="shared" si="4"/>
        <v>0</v>
      </c>
      <c r="O26" s="182">
        <f t="shared" si="5"/>
        <v>0</v>
      </c>
      <c r="P26" s="130">
        <f t="shared" si="6"/>
        <v>0</v>
      </c>
      <c r="Q26" s="130">
        <f t="shared" si="7"/>
        <v>0</v>
      </c>
      <c r="R26" s="64">
        <f t="shared" si="8"/>
        <v>0</v>
      </c>
      <c r="S26" s="130">
        <f t="shared" si="9"/>
        <v>0</v>
      </c>
      <c r="T26" s="130">
        <f t="shared" si="10"/>
        <v>0</v>
      </c>
      <c r="U26" s="130">
        <f t="shared" si="11"/>
        <v>0</v>
      </c>
      <c r="V26" s="130">
        <f t="shared" si="12"/>
        <v>0</v>
      </c>
      <c r="W26" s="130">
        <f t="shared" si="13"/>
        <v>0</v>
      </c>
      <c r="X26" s="130">
        <f t="shared" si="14"/>
        <v>0</v>
      </c>
      <c r="Y26" s="130">
        <f t="shared" si="15"/>
        <v>0</v>
      </c>
      <c r="Z26" s="130">
        <f t="shared" si="16"/>
        <v>0</v>
      </c>
      <c r="AA26" s="130">
        <f t="shared" si="17"/>
        <v>0</v>
      </c>
      <c r="AB26" s="130">
        <f t="shared" si="18"/>
        <v>0</v>
      </c>
      <c r="AC26" s="181">
        <f t="shared" si="19"/>
        <v>0</v>
      </c>
      <c r="AD26" s="181">
        <f t="shared" si="20"/>
        <v>0</v>
      </c>
      <c r="AE26" s="181">
        <f t="shared" si="21"/>
        <v>0</v>
      </c>
      <c r="AF26" s="181">
        <f t="shared" si="22"/>
        <v>0</v>
      </c>
      <c r="AG26" s="181">
        <f t="shared" si="23"/>
        <v>0</v>
      </c>
      <c r="AH26" s="85">
        <f t="shared" si="24"/>
        <v>48.267600000000002</v>
      </c>
      <c r="AI26" s="135">
        <f t="shared" si="25"/>
        <v>88.490600000000001</v>
      </c>
      <c r="AJ26" s="135">
        <f t="shared" si="26"/>
        <v>56.312199999999997</v>
      </c>
      <c r="AK26" s="135">
        <f t="shared" si="27"/>
        <v>8.0446000000000009</v>
      </c>
      <c r="AL26" s="65">
        <f t="shared" si="28"/>
        <v>1.6089199999999999</v>
      </c>
      <c r="AM26" s="66">
        <v>0.9</v>
      </c>
      <c r="AN26" s="66">
        <v>0.75</v>
      </c>
      <c r="AO26" s="66">
        <v>0.9</v>
      </c>
      <c r="AP26" s="66">
        <v>0.1</v>
      </c>
      <c r="AQ26" s="66">
        <v>0.1</v>
      </c>
      <c r="AR26" s="65">
        <f t="shared" si="29"/>
        <v>43.440840000000001</v>
      </c>
      <c r="AS26" s="65">
        <f t="shared" si="30"/>
        <v>66.367950000000008</v>
      </c>
      <c r="AT26" s="65">
        <f t="shared" si="31"/>
        <v>50.680979999999998</v>
      </c>
      <c r="AU26" s="65">
        <f t="shared" si="32"/>
        <v>0.80446000000000017</v>
      </c>
      <c r="AV26" s="65">
        <f t="shared" si="33"/>
        <v>0.16089200000000001</v>
      </c>
      <c r="AW26" s="65">
        <f t="shared" si="34"/>
        <v>4.8267600000000002</v>
      </c>
      <c r="AX26" s="65">
        <f t="shared" si="35"/>
        <v>22.122649999999993</v>
      </c>
      <c r="AY26" s="65">
        <f t="shared" si="36"/>
        <v>5.631219999999999</v>
      </c>
      <c r="AZ26" s="65">
        <f t="shared" si="37"/>
        <v>7.2401400000000002</v>
      </c>
      <c r="BA26" s="86">
        <f t="shared" si="38"/>
        <v>1.4480279999999999</v>
      </c>
      <c r="BB26" s="83">
        <f t="shared" si="39"/>
        <v>48.267600000000002</v>
      </c>
      <c r="BC26" s="67">
        <f t="shared" si="40"/>
        <v>88.490600000000001</v>
      </c>
      <c r="BD26" s="67">
        <f t="shared" si="41"/>
        <v>56.312199999999997</v>
      </c>
      <c r="BE26" s="68">
        <f t="shared" si="42"/>
        <v>8.0446000000000009</v>
      </c>
      <c r="BF26" s="68">
        <f t="shared" si="43"/>
        <v>1.6089199999999999</v>
      </c>
      <c r="BG26" s="67">
        <f t="shared" si="44"/>
        <v>4.8267600000000002</v>
      </c>
      <c r="BH26" s="67">
        <f t="shared" si="45"/>
        <v>22.122649999999993</v>
      </c>
      <c r="BI26" s="67">
        <f t="shared" si="46"/>
        <v>5.631219999999999</v>
      </c>
      <c r="BJ26" s="68">
        <f t="shared" si="47"/>
        <v>7.2401400000000002</v>
      </c>
      <c r="BK26" s="68">
        <f t="shared" si="48"/>
        <v>1.4480279999999999</v>
      </c>
      <c r="BL26" s="67">
        <f t="shared" si="49"/>
        <v>43.440840000000001</v>
      </c>
      <c r="BM26" s="67">
        <f t="shared" si="50"/>
        <v>66.367950000000008</v>
      </c>
      <c r="BN26" s="67">
        <f t="shared" si="51"/>
        <v>50.680979999999998</v>
      </c>
      <c r="BO26" s="68">
        <f t="shared" si="52"/>
        <v>0.80446000000000017</v>
      </c>
      <c r="BP26" s="76">
        <f t="shared" si="53"/>
        <v>0.16089200000000001</v>
      </c>
      <c r="BQ26" s="33">
        <v>0</v>
      </c>
      <c r="BR26" s="8">
        <v>246000</v>
      </c>
      <c r="BS26" t="s">
        <v>129</v>
      </c>
    </row>
    <row r="27" spans="1:72" x14ac:dyDescent="0.25">
      <c r="A27" s="52"/>
      <c r="B27" s="52">
        <v>57</v>
      </c>
      <c r="C27" s="53" t="s">
        <v>103</v>
      </c>
      <c r="D27" s="118">
        <v>2725</v>
      </c>
      <c r="E27" s="115" t="s">
        <v>156</v>
      </c>
      <c r="F27" s="40" t="s">
        <v>250</v>
      </c>
      <c r="G27" s="110">
        <v>2855</v>
      </c>
      <c r="H27" s="111">
        <v>200</v>
      </c>
      <c r="I27" s="107">
        <f t="shared" si="0"/>
        <v>3055</v>
      </c>
      <c r="J27" s="98">
        <f t="shared" si="1"/>
        <v>0.70157618213660244</v>
      </c>
      <c r="K27" s="99">
        <v>2003</v>
      </c>
      <c r="L27" s="94">
        <f t="shared" si="2"/>
        <v>0.29842381786339756</v>
      </c>
      <c r="M27" s="89">
        <f t="shared" si="3"/>
        <v>852</v>
      </c>
      <c r="N27" s="91">
        <f t="shared" si="4"/>
        <v>18.658799999999999</v>
      </c>
      <c r="O27" s="182">
        <f t="shared" si="5"/>
        <v>34.207799999999999</v>
      </c>
      <c r="P27" s="130">
        <f t="shared" si="6"/>
        <v>21.768599999999999</v>
      </c>
      <c r="Q27" s="130">
        <f t="shared" si="7"/>
        <v>3.1097999999999999</v>
      </c>
      <c r="R27" s="64">
        <f t="shared" si="8"/>
        <v>0.62195999999999996</v>
      </c>
      <c r="S27" s="130">
        <f t="shared" si="9"/>
        <v>1.3341042000000001</v>
      </c>
      <c r="T27" s="130">
        <f t="shared" si="10"/>
        <v>1.8472212000000001</v>
      </c>
      <c r="U27" s="130">
        <f t="shared" si="11"/>
        <v>1.7445978000000002</v>
      </c>
      <c r="V27" s="130">
        <f t="shared" si="12"/>
        <v>0.25655850000000002</v>
      </c>
      <c r="W27" s="130">
        <f t="shared" si="13"/>
        <v>5.1311700000000002E-2</v>
      </c>
      <c r="X27" s="130">
        <f t="shared" si="14"/>
        <v>1.9498446</v>
      </c>
      <c r="Y27" s="130">
        <f t="shared" si="15"/>
        <v>2.6682084000000001</v>
      </c>
      <c r="Z27" s="130">
        <f t="shared" si="16"/>
        <v>1.8472212000000001</v>
      </c>
      <c r="AA27" s="130">
        <f t="shared" si="17"/>
        <v>0</v>
      </c>
      <c r="AB27" s="130">
        <f t="shared" si="18"/>
        <v>0</v>
      </c>
      <c r="AC27" s="181">
        <f t="shared" si="19"/>
        <v>15.3748512</v>
      </c>
      <c r="AD27" s="181">
        <f t="shared" si="20"/>
        <v>29.692370399999998</v>
      </c>
      <c r="AE27" s="181">
        <f t="shared" si="21"/>
        <v>18.176780999999998</v>
      </c>
      <c r="AF27" s="181">
        <f t="shared" si="22"/>
        <v>2.8532414999999998</v>
      </c>
      <c r="AG27" s="181">
        <f t="shared" si="23"/>
        <v>0.5706483</v>
      </c>
      <c r="AH27" s="85">
        <f t="shared" si="24"/>
        <v>48.245699999999999</v>
      </c>
      <c r="AI27" s="135">
        <f t="shared" si="25"/>
        <v>88.450450000000004</v>
      </c>
      <c r="AJ27" s="135">
        <f t="shared" si="26"/>
        <v>56.286650000000002</v>
      </c>
      <c r="AK27" s="135">
        <f t="shared" si="27"/>
        <v>8.0409500000000005</v>
      </c>
      <c r="AL27" s="65">
        <f t="shared" si="28"/>
        <v>1.60819</v>
      </c>
      <c r="AM27" s="66">
        <v>0.9</v>
      </c>
      <c r="AN27" s="66">
        <v>0.75</v>
      </c>
      <c r="AO27" s="66">
        <v>0.9</v>
      </c>
      <c r="AP27" s="66">
        <v>0.1</v>
      </c>
      <c r="AQ27" s="66">
        <v>0.1</v>
      </c>
      <c r="AR27" s="65">
        <f t="shared" si="29"/>
        <v>44.62182378</v>
      </c>
      <c r="AS27" s="65">
        <f t="shared" si="30"/>
        <v>67.723253400000004</v>
      </c>
      <c r="AT27" s="65">
        <f t="shared" si="31"/>
        <v>52.228123020000005</v>
      </c>
      <c r="AU27" s="65">
        <f t="shared" si="32"/>
        <v>0.82975085000000015</v>
      </c>
      <c r="AV27" s="65">
        <f t="shared" si="33"/>
        <v>0.16595017000000001</v>
      </c>
      <c r="AW27" s="65">
        <f t="shared" si="34"/>
        <v>4.9579804199999984</v>
      </c>
      <c r="AX27" s="65">
        <f t="shared" si="35"/>
        <v>22.574417800000006</v>
      </c>
      <c r="AY27" s="65">
        <f t="shared" si="36"/>
        <v>5.8031247799999974</v>
      </c>
      <c r="AZ27" s="65">
        <f t="shared" si="37"/>
        <v>7.4677576500000011</v>
      </c>
      <c r="BA27" s="86">
        <f t="shared" si="38"/>
        <v>1.49355153</v>
      </c>
      <c r="BB27" s="83">
        <f t="shared" si="39"/>
        <v>66.904499999999999</v>
      </c>
      <c r="BC27" s="67">
        <f t="shared" si="40"/>
        <v>122.65825000000001</v>
      </c>
      <c r="BD27" s="67">
        <f t="shared" si="41"/>
        <v>78.055250000000001</v>
      </c>
      <c r="BE27" s="68">
        <f t="shared" si="42"/>
        <v>11.15075</v>
      </c>
      <c r="BF27" s="68">
        <f t="shared" si="43"/>
        <v>2.2301500000000001</v>
      </c>
      <c r="BG27" s="67">
        <f t="shared" si="44"/>
        <v>20.33283162</v>
      </c>
      <c r="BH27" s="67">
        <f t="shared" si="45"/>
        <v>52.266788200000008</v>
      </c>
      <c r="BI27" s="67">
        <f t="shared" si="46"/>
        <v>23.979905779999996</v>
      </c>
      <c r="BJ27" s="68">
        <f t="shared" si="47"/>
        <v>10.32099915</v>
      </c>
      <c r="BK27" s="68">
        <f t="shared" si="48"/>
        <v>2.0641998299999997</v>
      </c>
      <c r="BL27" s="67">
        <f t="shared" si="49"/>
        <v>46.571668379999998</v>
      </c>
      <c r="BM27" s="67">
        <f t="shared" si="50"/>
        <v>70.391461800000002</v>
      </c>
      <c r="BN27" s="67">
        <f t="shared" si="51"/>
        <v>54.075344220000005</v>
      </c>
      <c r="BO27" s="68">
        <f t="shared" si="52"/>
        <v>0.82975085000000015</v>
      </c>
      <c r="BP27" s="76">
        <f t="shared" si="53"/>
        <v>0.16595017000000001</v>
      </c>
      <c r="BQ27" s="33">
        <v>1332000</v>
      </c>
      <c r="BR27" s="8">
        <v>0</v>
      </c>
      <c r="BS27" t="s">
        <v>132</v>
      </c>
    </row>
    <row r="28" spans="1:72" x14ac:dyDescent="0.25">
      <c r="A28" s="52"/>
      <c r="B28" s="52">
        <v>61</v>
      </c>
      <c r="C28" s="53" t="s">
        <v>98</v>
      </c>
      <c r="D28" s="118">
        <v>2571</v>
      </c>
      <c r="E28" s="103" t="s">
        <v>150</v>
      </c>
      <c r="F28" s="36" t="s">
        <v>250</v>
      </c>
      <c r="G28" s="110">
        <v>2166</v>
      </c>
      <c r="H28" s="111">
        <v>0</v>
      </c>
      <c r="I28" s="107">
        <f t="shared" si="0"/>
        <v>2166</v>
      </c>
      <c r="J28" s="98">
        <f t="shared" si="1"/>
        <v>0.86288088642659277</v>
      </c>
      <c r="K28" s="99">
        <v>1869</v>
      </c>
      <c r="L28" s="94">
        <f t="shared" si="2"/>
        <v>0.1371191135734072</v>
      </c>
      <c r="M28" s="89">
        <f t="shared" si="3"/>
        <v>297</v>
      </c>
      <c r="N28" s="91">
        <f t="shared" si="4"/>
        <v>6.5042999999999997</v>
      </c>
      <c r="O28" s="182">
        <f t="shared" si="5"/>
        <v>11.92455</v>
      </c>
      <c r="P28" s="130">
        <f t="shared" si="6"/>
        <v>7.5883500000000002</v>
      </c>
      <c r="Q28" s="130">
        <f t="shared" si="7"/>
        <v>1.08405</v>
      </c>
      <c r="R28" s="64">
        <f t="shared" si="8"/>
        <v>0.21681</v>
      </c>
      <c r="S28" s="130">
        <f t="shared" si="9"/>
        <v>0.46505745000000004</v>
      </c>
      <c r="T28" s="130">
        <f t="shared" si="10"/>
        <v>0.64392570000000005</v>
      </c>
      <c r="U28" s="130">
        <f t="shared" si="11"/>
        <v>0.60815205000000006</v>
      </c>
      <c r="V28" s="130">
        <f t="shared" si="12"/>
        <v>8.9434125000000003E-2</v>
      </c>
      <c r="W28" s="130">
        <f t="shared" si="13"/>
        <v>1.7886825000000002E-2</v>
      </c>
      <c r="X28" s="130">
        <f t="shared" si="14"/>
        <v>0.67969935000000004</v>
      </c>
      <c r="Y28" s="130">
        <f t="shared" si="15"/>
        <v>0.93011490000000008</v>
      </c>
      <c r="Z28" s="130">
        <f t="shared" si="16"/>
        <v>0.64392570000000005</v>
      </c>
      <c r="AA28" s="130">
        <f t="shared" si="17"/>
        <v>0</v>
      </c>
      <c r="AB28" s="130">
        <f t="shared" si="18"/>
        <v>0</v>
      </c>
      <c r="AC28" s="181">
        <f t="shared" si="19"/>
        <v>5.3595432000000001</v>
      </c>
      <c r="AD28" s="181">
        <f t="shared" si="20"/>
        <v>10.3505094</v>
      </c>
      <c r="AE28" s="181">
        <f t="shared" si="21"/>
        <v>6.3362722500000004</v>
      </c>
      <c r="AF28" s="181">
        <f t="shared" si="22"/>
        <v>0.99461587499999993</v>
      </c>
      <c r="AG28" s="181">
        <f t="shared" si="23"/>
        <v>0.19892317500000001</v>
      </c>
      <c r="AH28" s="85">
        <f t="shared" si="24"/>
        <v>40.931100000000001</v>
      </c>
      <c r="AI28" s="135">
        <f t="shared" si="25"/>
        <v>75.040350000000004</v>
      </c>
      <c r="AJ28" s="135">
        <f t="shared" si="26"/>
        <v>47.752949999999998</v>
      </c>
      <c r="AK28" s="135">
        <f t="shared" si="27"/>
        <v>6.8218500000000004</v>
      </c>
      <c r="AL28" s="65">
        <f t="shared" si="28"/>
        <v>1.3643700000000001</v>
      </c>
      <c r="AM28" s="66">
        <v>0.9</v>
      </c>
      <c r="AN28" s="66">
        <v>0.75</v>
      </c>
      <c r="AO28" s="66">
        <v>0.9</v>
      </c>
      <c r="AP28" s="66">
        <v>0.1</v>
      </c>
      <c r="AQ28" s="66">
        <v>0.1</v>
      </c>
      <c r="AR28" s="65">
        <f t="shared" si="29"/>
        <v>37.256541705000004</v>
      </c>
      <c r="AS28" s="65">
        <f t="shared" si="30"/>
        <v>56.763206775</v>
      </c>
      <c r="AT28" s="65">
        <f t="shared" si="31"/>
        <v>43.524991845000002</v>
      </c>
      <c r="AU28" s="65">
        <f t="shared" si="32"/>
        <v>0.69112841250000012</v>
      </c>
      <c r="AV28" s="65">
        <f t="shared" si="33"/>
        <v>0.1382256825</v>
      </c>
      <c r="AW28" s="65">
        <f t="shared" si="34"/>
        <v>4.1396157450000004</v>
      </c>
      <c r="AX28" s="65">
        <f t="shared" si="35"/>
        <v>18.921068925</v>
      </c>
      <c r="AY28" s="65">
        <f t="shared" si="36"/>
        <v>4.8361102049999971</v>
      </c>
      <c r="AZ28" s="65">
        <f t="shared" si="37"/>
        <v>6.2201557125000004</v>
      </c>
      <c r="BA28" s="86">
        <f t="shared" si="38"/>
        <v>1.2440311424999999</v>
      </c>
      <c r="BB28" s="83">
        <f t="shared" si="39"/>
        <v>47.435400000000001</v>
      </c>
      <c r="BC28" s="67">
        <f t="shared" si="40"/>
        <v>86.9649</v>
      </c>
      <c r="BD28" s="67">
        <f t="shared" si="41"/>
        <v>55.341299999999997</v>
      </c>
      <c r="BE28" s="68">
        <f t="shared" si="42"/>
        <v>7.9059000000000008</v>
      </c>
      <c r="BF28" s="68">
        <f t="shared" si="43"/>
        <v>1.58118</v>
      </c>
      <c r="BG28" s="67">
        <f t="shared" si="44"/>
        <v>9.4991589450000014</v>
      </c>
      <c r="BH28" s="67">
        <f t="shared" si="45"/>
        <v>29.271578325</v>
      </c>
      <c r="BI28" s="67">
        <f t="shared" si="46"/>
        <v>11.172382454999997</v>
      </c>
      <c r="BJ28" s="68">
        <f t="shared" si="47"/>
        <v>7.2147715875000005</v>
      </c>
      <c r="BK28" s="68">
        <f t="shared" si="48"/>
        <v>1.4429543174999999</v>
      </c>
      <c r="BL28" s="67">
        <f t="shared" si="49"/>
        <v>37.936241055000004</v>
      </c>
      <c r="BM28" s="67">
        <f t="shared" si="50"/>
        <v>57.693321675</v>
      </c>
      <c r="BN28" s="67">
        <f t="shared" si="51"/>
        <v>44.168917544999999</v>
      </c>
      <c r="BO28" s="68">
        <f t="shared" si="52"/>
        <v>0.69112841250000012</v>
      </c>
      <c r="BP28" s="76">
        <f t="shared" si="53"/>
        <v>0.1382256825</v>
      </c>
      <c r="BQ28" s="33" t="s">
        <v>187</v>
      </c>
      <c r="BR28" s="8" t="s">
        <v>187</v>
      </c>
    </row>
    <row r="29" spans="1:72" x14ac:dyDescent="0.25">
      <c r="A29" s="52"/>
      <c r="B29" s="52">
        <v>62</v>
      </c>
      <c r="C29" s="53" t="s">
        <v>97</v>
      </c>
      <c r="D29" s="118">
        <v>2490</v>
      </c>
      <c r="E29" s="103" t="s">
        <v>205</v>
      </c>
      <c r="F29" s="36" t="s">
        <v>250</v>
      </c>
      <c r="G29" s="110">
        <v>2840</v>
      </c>
      <c r="H29" s="110">
        <v>220</v>
      </c>
      <c r="I29" s="107">
        <f t="shared" si="0"/>
        <v>3060</v>
      </c>
      <c r="J29" s="98">
        <f t="shared" si="1"/>
        <v>0.79084507042253516</v>
      </c>
      <c r="K29" s="99">
        <v>2246</v>
      </c>
      <c r="L29" s="94">
        <f t="shared" si="2"/>
        <v>0.20915492957746479</v>
      </c>
      <c r="M29" s="89">
        <f t="shared" si="3"/>
        <v>594</v>
      </c>
      <c r="N29" s="91">
        <f t="shared" si="4"/>
        <v>13.008599999999999</v>
      </c>
      <c r="O29" s="182">
        <f t="shared" si="5"/>
        <v>23.8491</v>
      </c>
      <c r="P29" s="130">
        <f t="shared" si="6"/>
        <v>15.1767</v>
      </c>
      <c r="Q29" s="130">
        <f t="shared" si="7"/>
        <v>2.1680999999999999</v>
      </c>
      <c r="R29" s="64">
        <f t="shared" si="8"/>
        <v>0.43362000000000001</v>
      </c>
      <c r="S29" s="130">
        <f t="shared" si="9"/>
        <v>0.93011490000000008</v>
      </c>
      <c r="T29" s="130">
        <f t="shared" si="10"/>
        <v>1.2878514000000001</v>
      </c>
      <c r="U29" s="130">
        <f t="shared" si="11"/>
        <v>1.2163041000000001</v>
      </c>
      <c r="V29" s="130">
        <f t="shared" si="12"/>
        <v>0.17886825000000001</v>
      </c>
      <c r="W29" s="130">
        <f t="shared" si="13"/>
        <v>3.5773650000000004E-2</v>
      </c>
      <c r="X29" s="130">
        <f t="shared" si="14"/>
        <v>1.3593987000000001</v>
      </c>
      <c r="Y29" s="130">
        <f t="shared" si="15"/>
        <v>1.8602298000000002</v>
      </c>
      <c r="Z29" s="130">
        <f t="shared" si="16"/>
        <v>1.2878514000000001</v>
      </c>
      <c r="AA29" s="130">
        <f t="shared" si="17"/>
        <v>0</v>
      </c>
      <c r="AB29" s="130">
        <f t="shared" si="18"/>
        <v>0</v>
      </c>
      <c r="AC29" s="181">
        <f t="shared" si="19"/>
        <v>10.7190864</v>
      </c>
      <c r="AD29" s="181">
        <f t="shared" si="20"/>
        <v>20.7010188</v>
      </c>
      <c r="AE29" s="181">
        <f t="shared" si="21"/>
        <v>12.672544500000001</v>
      </c>
      <c r="AF29" s="181">
        <f t="shared" si="22"/>
        <v>1.9892317499999999</v>
      </c>
      <c r="AG29" s="181">
        <f t="shared" si="23"/>
        <v>0.39784635000000002</v>
      </c>
      <c r="AH29" s="85">
        <f t="shared" si="24"/>
        <v>54.005400000000002</v>
      </c>
      <c r="AI29" s="135">
        <f t="shared" si="25"/>
        <v>99.009900000000002</v>
      </c>
      <c r="AJ29" s="135">
        <f t="shared" si="26"/>
        <v>63.006300000000003</v>
      </c>
      <c r="AK29" s="135">
        <f t="shared" si="27"/>
        <v>9.0008999999999997</v>
      </c>
      <c r="AL29" s="65">
        <f t="shared" si="28"/>
        <v>1.8001799999999999</v>
      </c>
      <c r="AM29" s="66">
        <v>0.9</v>
      </c>
      <c r="AN29" s="66">
        <v>0.75</v>
      </c>
      <c r="AO29" s="66">
        <v>0.9</v>
      </c>
      <c r="AP29" s="66">
        <v>0.1</v>
      </c>
      <c r="AQ29" s="66">
        <v>0.1</v>
      </c>
      <c r="AR29" s="65">
        <f t="shared" si="29"/>
        <v>49.44196341</v>
      </c>
      <c r="AS29" s="65">
        <f t="shared" si="30"/>
        <v>75.22331355</v>
      </c>
      <c r="AT29" s="65">
        <f t="shared" si="31"/>
        <v>57.800343689999998</v>
      </c>
      <c r="AU29" s="65">
        <f t="shared" si="32"/>
        <v>0.91797682500000011</v>
      </c>
      <c r="AV29" s="65">
        <f t="shared" si="33"/>
        <v>0.18359536500000001</v>
      </c>
      <c r="AW29" s="65">
        <f t="shared" si="34"/>
        <v>5.4935514900000015</v>
      </c>
      <c r="AX29" s="65">
        <f t="shared" si="35"/>
        <v>25.074437849999995</v>
      </c>
      <c r="AY29" s="65">
        <f t="shared" si="36"/>
        <v>6.4222604099999998</v>
      </c>
      <c r="AZ29" s="65">
        <f t="shared" si="37"/>
        <v>8.2617914250000002</v>
      </c>
      <c r="BA29" s="86">
        <f t="shared" si="38"/>
        <v>1.652358285</v>
      </c>
      <c r="BB29" s="83">
        <f t="shared" si="39"/>
        <v>67.013999999999996</v>
      </c>
      <c r="BC29" s="67">
        <f t="shared" si="40"/>
        <v>122.85900000000001</v>
      </c>
      <c r="BD29" s="67">
        <f t="shared" si="41"/>
        <v>78.183000000000007</v>
      </c>
      <c r="BE29" s="68">
        <f t="shared" si="42"/>
        <v>11.169</v>
      </c>
      <c r="BF29" s="68">
        <f t="shared" si="43"/>
        <v>2.2338</v>
      </c>
      <c r="BG29" s="67">
        <f t="shared" si="44"/>
        <v>16.212637890000003</v>
      </c>
      <c r="BH29" s="67">
        <f t="shared" si="45"/>
        <v>45.775456649999995</v>
      </c>
      <c r="BI29" s="67">
        <f t="shared" si="46"/>
        <v>19.094804910000001</v>
      </c>
      <c r="BJ29" s="68">
        <f t="shared" si="47"/>
        <v>10.251023175</v>
      </c>
      <c r="BK29" s="68">
        <f t="shared" si="48"/>
        <v>2.0502046350000001</v>
      </c>
      <c r="BL29" s="67">
        <f t="shared" si="49"/>
        <v>50.801362109999999</v>
      </c>
      <c r="BM29" s="67">
        <f t="shared" si="50"/>
        <v>77.083543349999999</v>
      </c>
      <c r="BN29" s="67">
        <f t="shared" si="51"/>
        <v>59.088195089999999</v>
      </c>
      <c r="BO29" s="68">
        <f t="shared" si="52"/>
        <v>0.91797682500000011</v>
      </c>
      <c r="BP29" s="76">
        <f t="shared" si="53"/>
        <v>0.18359536500000001</v>
      </c>
      <c r="BQ29" s="33">
        <f>554320+170849</f>
        <v>725169</v>
      </c>
      <c r="BR29" s="8">
        <f>866290+205455</f>
        <v>1071745</v>
      </c>
      <c r="BS29" t="s">
        <v>228</v>
      </c>
    </row>
    <row r="30" spans="1:72" x14ac:dyDescent="0.25">
      <c r="A30" s="52"/>
      <c r="B30" s="52">
        <v>65</v>
      </c>
      <c r="C30" s="53" t="s">
        <v>100</v>
      </c>
      <c r="D30" s="118">
        <v>2317</v>
      </c>
      <c r="E30" s="103" t="s">
        <v>159</v>
      </c>
      <c r="F30" s="36" t="s">
        <v>250</v>
      </c>
      <c r="G30" s="110">
        <v>2703</v>
      </c>
      <c r="H30" s="111">
        <v>31</v>
      </c>
      <c r="I30" s="107">
        <f t="shared" si="0"/>
        <v>2734</v>
      </c>
      <c r="J30" s="98">
        <f t="shared" si="1"/>
        <v>0.8057713651498335</v>
      </c>
      <c r="K30" s="99">
        <v>2178</v>
      </c>
      <c r="L30" s="94">
        <f t="shared" si="2"/>
        <v>0.19422863485016648</v>
      </c>
      <c r="M30" s="89">
        <f t="shared" si="3"/>
        <v>525</v>
      </c>
      <c r="N30" s="91">
        <f t="shared" si="4"/>
        <v>11.4975</v>
      </c>
      <c r="O30" s="182">
        <f t="shared" si="5"/>
        <v>21.078749999999999</v>
      </c>
      <c r="P30" s="130">
        <f t="shared" si="6"/>
        <v>13.41375</v>
      </c>
      <c r="Q30" s="130">
        <f t="shared" si="7"/>
        <v>1.91625</v>
      </c>
      <c r="R30" s="64">
        <f t="shared" si="8"/>
        <v>0.38324999999999998</v>
      </c>
      <c r="S30" s="130">
        <f t="shared" si="9"/>
        <v>0.82207125000000003</v>
      </c>
      <c r="T30" s="130">
        <f t="shared" si="10"/>
        <v>1.1382525000000001</v>
      </c>
      <c r="U30" s="130">
        <f t="shared" si="11"/>
        <v>1.07501625</v>
      </c>
      <c r="V30" s="130">
        <f t="shared" si="12"/>
        <v>0.15809062500000001</v>
      </c>
      <c r="W30" s="130">
        <f t="shared" si="13"/>
        <v>3.1618124999999997E-2</v>
      </c>
      <c r="X30" s="130">
        <f t="shared" si="14"/>
        <v>1.20148875</v>
      </c>
      <c r="Y30" s="130">
        <f t="shared" si="15"/>
        <v>1.6441425000000001</v>
      </c>
      <c r="Z30" s="130">
        <f t="shared" si="16"/>
        <v>1.1382525000000001</v>
      </c>
      <c r="AA30" s="130">
        <f t="shared" si="17"/>
        <v>0</v>
      </c>
      <c r="AB30" s="130">
        <f t="shared" si="18"/>
        <v>0</v>
      </c>
      <c r="AC30" s="181">
        <f t="shared" si="19"/>
        <v>9.4739400000000007</v>
      </c>
      <c r="AD30" s="181">
        <f t="shared" si="20"/>
        <v>18.296354999999998</v>
      </c>
      <c r="AE30" s="181">
        <f t="shared" si="21"/>
        <v>11.200481249999999</v>
      </c>
      <c r="AF30" s="181">
        <f t="shared" si="22"/>
        <v>1.758159375</v>
      </c>
      <c r="AG30" s="181">
        <f t="shared" si="23"/>
        <v>0.35163187499999998</v>
      </c>
      <c r="AH30" s="85">
        <f t="shared" si="24"/>
        <v>48.377099999999999</v>
      </c>
      <c r="AI30" s="135">
        <f t="shared" si="25"/>
        <v>88.69135</v>
      </c>
      <c r="AJ30" s="135">
        <f t="shared" si="26"/>
        <v>56.439950000000003</v>
      </c>
      <c r="AK30" s="135">
        <f t="shared" si="27"/>
        <v>8.0628499999999992</v>
      </c>
      <c r="AL30" s="65">
        <f t="shared" si="28"/>
        <v>1.6125700000000001</v>
      </c>
      <c r="AM30" s="66">
        <v>0.9</v>
      </c>
      <c r="AN30" s="66">
        <v>0.75</v>
      </c>
      <c r="AO30" s="66">
        <v>0.9</v>
      </c>
      <c r="AP30" s="66">
        <v>0.1</v>
      </c>
      <c r="AQ30" s="66">
        <v>0.1</v>
      </c>
      <c r="AR30" s="65">
        <f t="shared" si="29"/>
        <v>44.279254125000001</v>
      </c>
      <c r="AS30" s="65">
        <f t="shared" si="30"/>
        <v>67.372201875000002</v>
      </c>
      <c r="AT30" s="65">
        <f t="shared" si="31"/>
        <v>51.763469624999999</v>
      </c>
      <c r="AU30" s="65">
        <f t="shared" si="32"/>
        <v>0.82209406249999994</v>
      </c>
      <c r="AV30" s="65">
        <f t="shared" si="33"/>
        <v>0.16441881250000001</v>
      </c>
      <c r="AW30" s="65">
        <f t="shared" si="34"/>
        <v>4.9199171249999978</v>
      </c>
      <c r="AX30" s="65">
        <f t="shared" si="35"/>
        <v>22.457400624999991</v>
      </c>
      <c r="AY30" s="65">
        <f t="shared" si="36"/>
        <v>5.7514966250000015</v>
      </c>
      <c r="AZ30" s="65">
        <f t="shared" si="37"/>
        <v>7.3988465624999993</v>
      </c>
      <c r="BA30" s="86">
        <f t="shared" si="38"/>
        <v>1.4797693125000002</v>
      </c>
      <c r="BB30" s="83">
        <f t="shared" si="39"/>
        <v>59.874600000000001</v>
      </c>
      <c r="BC30" s="67">
        <f t="shared" si="40"/>
        <v>109.7701</v>
      </c>
      <c r="BD30" s="67">
        <f t="shared" si="41"/>
        <v>69.853700000000003</v>
      </c>
      <c r="BE30" s="68">
        <f t="shared" si="42"/>
        <v>9.979099999999999</v>
      </c>
      <c r="BF30" s="68">
        <f t="shared" si="43"/>
        <v>1.9958200000000001</v>
      </c>
      <c r="BG30" s="67">
        <f t="shared" si="44"/>
        <v>14.393857124999998</v>
      </c>
      <c r="BH30" s="67">
        <f t="shared" si="45"/>
        <v>40.753755624999989</v>
      </c>
      <c r="BI30" s="67">
        <f t="shared" si="46"/>
        <v>16.951977875000001</v>
      </c>
      <c r="BJ30" s="68">
        <f t="shared" si="47"/>
        <v>9.1570059374999992</v>
      </c>
      <c r="BK30" s="68">
        <f t="shared" si="48"/>
        <v>1.8314011875000002</v>
      </c>
      <c r="BL30" s="67">
        <f t="shared" si="49"/>
        <v>45.480742875000004</v>
      </c>
      <c r="BM30" s="67">
        <f t="shared" si="50"/>
        <v>69.016344375000003</v>
      </c>
      <c r="BN30" s="67">
        <f t="shared" si="51"/>
        <v>52.901722124999999</v>
      </c>
      <c r="BO30" s="68">
        <f t="shared" si="52"/>
        <v>0.82209406249999994</v>
      </c>
      <c r="BP30" s="76">
        <f t="shared" si="53"/>
        <v>0.16441881250000001</v>
      </c>
      <c r="BQ30" s="33">
        <f>1788000*0.6+40200</f>
        <v>1113000</v>
      </c>
      <c r="BR30" s="8">
        <v>106800</v>
      </c>
      <c r="BS30" t="s">
        <v>160</v>
      </c>
    </row>
    <row r="31" spans="1:72" x14ac:dyDescent="0.25">
      <c r="A31" s="52"/>
      <c r="B31" s="52">
        <v>66</v>
      </c>
      <c r="C31" s="53" t="s">
        <v>109</v>
      </c>
      <c r="D31" s="118">
        <v>2293</v>
      </c>
      <c r="E31" s="103" t="s">
        <v>161</v>
      </c>
      <c r="F31" s="36" t="s">
        <v>250</v>
      </c>
      <c r="G31" s="110">
        <v>2700</v>
      </c>
      <c r="H31" s="111">
        <v>318</v>
      </c>
      <c r="I31" s="107">
        <f t="shared" si="0"/>
        <v>3018</v>
      </c>
      <c r="J31" s="98">
        <f t="shared" si="1"/>
        <v>0.9085185185185185</v>
      </c>
      <c r="K31" s="99">
        <v>2453</v>
      </c>
      <c r="L31" s="94">
        <f t="shared" si="2"/>
        <v>9.1481481481481483E-2</v>
      </c>
      <c r="M31" s="89">
        <f t="shared" si="3"/>
        <v>247</v>
      </c>
      <c r="N31" s="91">
        <f t="shared" si="4"/>
        <v>5.4093</v>
      </c>
      <c r="O31" s="182">
        <f t="shared" si="5"/>
        <v>9.9170499999999997</v>
      </c>
      <c r="P31" s="130">
        <f t="shared" si="6"/>
        <v>6.3108500000000003</v>
      </c>
      <c r="Q31" s="130">
        <f t="shared" si="7"/>
        <v>0.90154999999999996</v>
      </c>
      <c r="R31" s="64">
        <f t="shared" si="8"/>
        <v>0.18031</v>
      </c>
      <c r="S31" s="130">
        <f t="shared" si="9"/>
        <v>0.38676495000000005</v>
      </c>
      <c r="T31" s="130">
        <f t="shared" si="10"/>
        <v>0.53552069999999996</v>
      </c>
      <c r="U31" s="130">
        <f t="shared" si="11"/>
        <v>0.50576955000000001</v>
      </c>
      <c r="V31" s="130">
        <f t="shared" si="12"/>
        <v>7.4377874999999996E-2</v>
      </c>
      <c r="W31" s="130">
        <f t="shared" si="13"/>
        <v>1.4875575E-2</v>
      </c>
      <c r="X31" s="130">
        <f t="shared" si="14"/>
        <v>0.56527185000000002</v>
      </c>
      <c r="Y31" s="130">
        <f t="shared" si="15"/>
        <v>0.7735299000000001</v>
      </c>
      <c r="Z31" s="130">
        <f t="shared" si="16"/>
        <v>0.53552069999999996</v>
      </c>
      <c r="AA31" s="130">
        <f t="shared" si="17"/>
        <v>0</v>
      </c>
      <c r="AB31" s="130">
        <f t="shared" si="18"/>
        <v>0</v>
      </c>
      <c r="AC31" s="181">
        <f t="shared" si="19"/>
        <v>4.4572631999999999</v>
      </c>
      <c r="AD31" s="181">
        <f t="shared" si="20"/>
        <v>8.6079994000000006</v>
      </c>
      <c r="AE31" s="181">
        <f t="shared" si="21"/>
        <v>5.26955975</v>
      </c>
      <c r="AF31" s="181">
        <f t="shared" si="22"/>
        <v>0.82717212499999992</v>
      </c>
      <c r="AG31" s="181">
        <f t="shared" si="23"/>
        <v>0.165434425</v>
      </c>
      <c r="AH31" s="85">
        <f t="shared" si="24"/>
        <v>60.684899999999999</v>
      </c>
      <c r="AI31" s="135">
        <f t="shared" si="25"/>
        <v>111.25565</v>
      </c>
      <c r="AJ31" s="135">
        <f t="shared" si="26"/>
        <v>70.799049999999994</v>
      </c>
      <c r="AK31" s="135">
        <f t="shared" si="27"/>
        <v>10.11415</v>
      </c>
      <c r="AL31" s="65">
        <f t="shared" si="28"/>
        <v>2.0228299999999999</v>
      </c>
      <c r="AM31" s="66">
        <v>0.9</v>
      </c>
      <c r="AN31" s="66">
        <v>0.75</v>
      </c>
      <c r="AO31" s="66">
        <v>0.9</v>
      </c>
      <c r="AP31" s="66">
        <v>0.1</v>
      </c>
      <c r="AQ31" s="66">
        <v>0.1</v>
      </c>
      <c r="AR31" s="65">
        <f t="shared" si="29"/>
        <v>54.964498454999998</v>
      </c>
      <c r="AS31" s="65">
        <f t="shared" si="30"/>
        <v>83.843378025000007</v>
      </c>
      <c r="AT31" s="65">
        <f t="shared" si="31"/>
        <v>64.174337594999997</v>
      </c>
      <c r="AU31" s="65">
        <f t="shared" si="32"/>
        <v>1.0188527875</v>
      </c>
      <c r="AV31" s="65">
        <f t="shared" si="33"/>
        <v>0.2037705575</v>
      </c>
      <c r="AW31" s="65">
        <f t="shared" si="34"/>
        <v>6.1071664950000013</v>
      </c>
      <c r="AX31" s="65">
        <f t="shared" si="35"/>
        <v>27.947792675000002</v>
      </c>
      <c r="AY31" s="65">
        <f t="shared" si="36"/>
        <v>7.1304819549999934</v>
      </c>
      <c r="AZ31" s="65">
        <f t="shared" si="37"/>
        <v>9.1696750874999999</v>
      </c>
      <c r="BA31" s="86">
        <f t="shared" si="38"/>
        <v>1.8339350175</v>
      </c>
      <c r="BB31" s="83">
        <f t="shared" si="39"/>
        <v>66.094200000000001</v>
      </c>
      <c r="BC31" s="67">
        <f t="shared" si="40"/>
        <v>121.17270000000001</v>
      </c>
      <c r="BD31" s="67">
        <f t="shared" si="41"/>
        <v>77.109899999999996</v>
      </c>
      <c r="BE31" s="68">
        <f t="shared" si="42"/>
        <v>11.015700000000001</v>
      </c>
      <c r="BF31" s="68">
        <f t="shared" si="43"/>
        <v>2.2031399999999999</v>
      </c>
      <c r="BG31" s="67">
        <f t="shared" si="44"/>
        <v>10.564429695000001</v>
      </c>
      <c r="BH31" s="67">
        <f t="shared" si="45"/>
        <v>36.555792074999999</v>
      </c>
      <c r="BI31" s="67">
        <f t="shared" si="46"/>
        <v>12.400041704999992</v>
      </c>
      <c r="BJ31" s="68">
        <f t="shared" si="47"/>
        <v>9.9968472125000005</v>
      </c>
      <c r="BK31" s="68">
        <f t="shared" si="48"/>
        <v>1.9993694424999999</v>
      </c>
      <c r="BL31" s="67">
        <f t="shared" si="49"/>
        <v>55.529770305</v>
      </c>
      <c r="BM31" s="67">
        <f t="shared" si="50"/>
        <v>84.616907925000007</v>
      </c>
      <c r="BN31" s="67">
        <f t="shared" si="51"/>
        <v>64.709858295000004</v>
      </c>
      <c r="BO31" s="68">
        <f t="shared" si="52"/>
        <v>1.0188527875</v>
      </c>
      <c r="BP31" s="76">
        <f t="shared" si="53"/>
        <v>0.2037705575</v>
      </c>
      <c r="BQ31" s="33">
        <f>107556+105543+30068</f>
        <v>243167</v>
      </c>
      <c r="BR31" s="8">
        <v>103948</v>
      </c>
      <c r="BS31" t="s">
        <v>129</v>
      </c>
    </row>
    <row r="32" spans="1:72" x14ac:dyDescent="0.25">
      <c r="A32" s="52"/>
      <c r="B32" s="52">
        <v>67</v>
      </c>
      <c r="C32" s="53" t="s">
        <v>110</v>
      </c>
      <c r="D32" s="118">
        <v>2204</v>
      </c>
      <c r="E32" s="103" t="s">
        <v>11</v>
      </c>
      <c r="F32" s="36" t="s">
        <v>250</v>
      </c>
      <c r="G32" s="110">
        <v>2122</v>
      </c>
      <c r="H32" s="111">
        <v>0</v>
      </c>
      <c r="I32" s="107">
        <f t="shared" si="0"/>
        <v>2122</v>
      </c>
      <c r="J32" s="98">
        <f t="shared" si="1"/>
        <v>0.65127238454288405</v>
      </c>
      <c r="K32" s="99">
        <v>1382</v>
      </c>
      <c r="L32" s="94">
        <f t="shared" si="2"/>
        <v>0.34872761545711595</v>
      </c>
      <c r="M32" s="89">
        <f t="shared" si="3"/>
        <v>740</v>
      </c>
      <c r="N32" s="91">
        <f t="shared" si="4"/>
        <v>16.206</v>
      </c>
      <c r="O32" s="182">
        <f t="shared" si="5"/>
        <v>29.710999999999999</v>
      </c>
      <c r="P32" s="130">
        <f t="shared" si="6"/>
        <v>18.907</v>
      </c>
      <c r="Q32" s="130">
        <f t="shared" si="7"/>
        <v>2.7010000000000001</v>
      </c>
      <c r="R32" s="64">
        <f t="shared" si="8"/>
        <v>0.54020000000000001</v>
      </c>
      <c r="S32" s="130">
        <f t="shared" si="9"/>
        <v>1.1587290000000001</v>
      </c>
      <c r="T32" s="130">
        <f t="shared" si="10"/>
        <v>1.6043939999999999</v>
      </c>
      <c r="U32" s="130">
        <f t="shared" si="11"/>
        <v>1.5152610000000002</v>
      </c>
      <c r="V32" s="130">
        <f t="shared" si="12"/>
        <v>0.22283250000000002</v>
      </c>
      <c r="W32" s="130">
        <f t="shared" si="13"/>
        <v>4.4566500000000002E-2</v>
      </c>
      <c r="X32" s="130">
        <f t="shared" si="14"/>
        <v>1.693527</v>
      </c>
      <c r="Y32" s="130">
        <f t="shared" si="15"/>
        <v>2.3174580000000002</v>
      </c>
      <c r="Z32" s="130">
        <f t="shared" si="16"/>
        <v>1.6043939999999999</v>
      </c>
      <c r="AA32" s="130">
        <f t="shared" si="17"/>
        <v>0</v>
      </c>
      <c r="AB32" s="130">
        <f t="shared" si="18"/>
        <v>0</v>
      </c>
      <c r="AC32" s="181">
        <f t="shared" si="19"/>
        <v>13.353743999999999</v>
      </c>
      <c r="AD32" s="181">
        <f t="shared" si="20"/>
        <v>25.789147999999997</v>
      </c>
      <c r="AE32" s="181">
        <f t="shared" si="21"/>
        <v>15.787345000000002</v>
      </c>
      <c r="AF32" s="181">
        <f t="shared" si="22"/>
        <v>2.4781675000000001</v>
      </c>
      <c r="AG32" s="181">
        <f t="shared" si="23"/>
        <v>0.4956335</v>
      </c>
      <c r="AH32" s="85">
        <f t="shared" si="24"/>
        <v>30.265799999999999</v>
      </c>
      <c r="AI32" s="135">
        <f t="shared" si="25"/>
        <v>55.487299999999998</v>
      </c>
      <c r="AJ32" s="135">
        <f t="shared" si="26"/>
        <v>35.310099999999998</v>
      </c>
      <c r="AK32" s="135">
        <f t="shared" si="27"/>
        <v>5.0442999999999998</v>
      </c>
      <c r="AL32" s="65">
        <f t="shared" si="28"/>
        <v>1.0088600000000001</v>
      </c>
      <c r="AM32" s="66">
        <v>0.9</v>
      </c>
      <c r="AN32" s="66">
        <v>0.75</v>
      </c>
      <c r="AO32" s="66">
        <v>0.9</v>
      </c>
      <c r="AP32" s="66">
        <v>0.1</v>
      </c>
      <c r="AQ32" s="66">
        <v>0.1</v>
      </c>
      <c r="AR32" s="65">
        <f t="shared" si="29"/>
        <v>28.282076100000001</v>
      </c>
      <c r="AS32" s="65">
        <f t="shared" si="30"/>
        <v>42.818770499999999</v>
      </c>
      <c r="AT32" s="65">
        <f t="shared" si="31"/>
        <v>33.142824900000001</v>
      </c>
      <c r="AU32" s="65">
        <f t="shared" si="32"/>
        <v>0.52671325000000002</v>
      </c>
      <c r="AV32" s="65">
        <f t="shared" si="33"/>
        <v>0.10534265000000001</v>
      </c>
      <c r="AW32" s="65">
        <f t="shared" si="34"/>
        <v>3.1424528999999986</v>
      </c>
      <c r="AX32" s="65">
        <f t="shared" si="35"/>
        <v>14.272923499999997</v>
      </c>
      <c r="AY32" s="65">
        <f t="shared" si="36"/>
        <v>3.6825361000000001</v>
      </c>
      <c r="AZ32" s="65">
        <f t="shared" si="37"/>
        <v>4.7404192499999995</v>
      </c>
      <c r="BA32" s="86">
        <f t="shared" si="38"/>
        <v>0.94808385000000006</v>
      </c>
      <c r="BB32" s="83">
        <f t="shared" si="39"/>
        <v>46.471800000000002</v>
      </c>
      <c r="BC32" s="67">
        <f t="shared" si="40"/>
        <v>85.198299999999989</v>
      </c>
      <c r="BD32" s="67">
        <f t="shared" si="41"/>
        <v>54.217100000000002</v>
      </c>
      <c r="BE32" s="68">
        <f t="shared" si="42"/>
        <v>7.7453000000000003</v>
      </c>
      <c r="BF32" s="68">
        <f t="shared" si="43"/>
        <v>1.5490600000000001</v>
      </c>
      <c r="BG32" s="67">
        <f t="shared" si="44"/>
        <v>16.496196899999997</v>
      </c>
      <c r="BH32" s="67">
        <f t="shared" si="45"/>
        <v>40.062071499999995</v>
      </c>
      <c r="BI32" s="67">
        <f t="shared" si="46"/>
        <v>19.469881100000002</v>
      </c>
      <c r="BJ32" s="68">
        <f t="shared" si="47"/>
        <v>7.2185867500000001</v>
      </c>
      <c r="BK32" s="68">
        <f t="shared" si="48"/>
        <v>1.44371735</v>
      </c>
      <c r="BL32" s="67">
        <f t="shared" si="49"/>
        <v>29.975603100000001</v>
      </c>
      <c r="BM32" s="67">
        <f t="shared" si="50"/>
        <v>45.136228500000001</v>
      </c>
      <c r="BN32" s="67">
        <f t="shared" si="51"/>
        <v>34.7472189</v>
      </c>
      <c r="BO32" s="68">
        <f t="shared" si="52"/>
        <v>0.52671325000000002</v>
      </c>
      <c r="BP32" s="76">
        <f t="shared" si="53"/>
        <v>0.10534265000000001</v>
      </c>
      <c r="BQ32" s="33">
        <f>173190+(525750+322450+79500+142000+327250+455850+112050+66000+130650+156925+154950)*0.6</f>
        <v>1657215</v>
      </c>
      <c r="BR32" s="8">
        <f>156000+82500+152950</f>
        <v>391450</v>
      </c>
      <c r="BS32" t="s">
        <v>133</v>
      </c>
    </row>
    <row r="33" spans="1:71" ht="30" x14ac:dyDescent="0.25">
      <c r="A33" s="52"/>
      <c r="B33" s="52">
        <v>68</v>
      </c>
      <c r="C33" s="53" t="s">
        <v>111</v>
      </c>
      <c r="D33" s="118">
        <v>2168</v>
      </c>
      <c r="E33" s="115" t="s">
        <v>148</v>
      </c>
      <c r="F33" s="40" t="s">
        <v>250</v>
      </c>
      <c r="G33" s="110">
        <v>2394</v>
      </c>
      <c r="H33" s="111">
        <v>0</v>
      </c>
      <c r="I33" s="107">
        <f t="shared" si="0"/>
        <v>2394</v>
      </c>
      <c r="J33" s="98">
        <f t="shared" si="1"/>
        <v>0.51336675020885547</v>
      </c>
      <c r="K33" s="99">
        <v>1229</v>
      </c>
      <c r="L33" s="94">
        <f t="shared" si="2"/>
        <v>0.48663324979114453</v>
      </c>
      <c r="M33" s="89">
        <f t="shared" si="3"/>
        <v>1165</v>
      </c>
      <c r="N33" s="91">
        <f t="shared" si="4"/>
        <v>25.513500000000001</v>
      </c>
      <c r="O33" s="182">
        <f t="shared" si="5"/>
        <v>46.774749999999997</v>
      </c>
      <c r="P33" s="130">
        <f t="shared" si="6"/>
        <v>29.765750000000001</v>
      </c>
      <c r="Q33" s="130">
        <f t="shared" si="7"/>
        <v>4.2522500000000001</v>
      </c>
      <c r="R33" s="64">
        <f t="shared" si="8"/>
        <v>0.85045000000000004</v>
      </c>
      <c r="S33" s="130">
        <f t="shared" si="9"/>
        <v>1.82421525</v>
      </c>
      <c r="T33" s="130">
        <f t="shared" si="10"/>
        <v>2.5258365</v>
      </c>
      <c r="U33" s="130">
        <f t="shared" si="11"/>
        <v>2.3855122500000001</v>
      </c>
      <c r="V33" s="130">
        <f t="shared" si="12"/>
        <v>0.35081062500000004</v>
      </c>
      <c r="W33" s="130">
        <f t="shared" si="13"/>
        <v>7.0162125000000006E-2</v>
      </c>
      <c r="X33" s="130">
        <f t="shared" si="14"/>
        <v>2.6661607500000004</v>
      </c>
      <c r="Y33" s="130">
        <f t="shared" si="15"/>
        <v>3.6484304999999999</v>
      </c>
      <c r="Z33" s="130">
        <f t="shared" si="16"/>
        <v>2.5258365</v>
      </c>
      <c r="AA33" s="130">
        <f t="shared" si="17"/>
        <v>0</v>
      </c>
      <c r="AB33" s="130">
        <f t="shared" si="18"/>
        <v>0</v>
      </c>
      <c r="AC33" s="181">
        <f t="shared" si="19"/>
        <v>21.023123999999999</v>
      </c>
      <c r="AD33" s="181">
        <f t="shared" si="20"/>
        <v>40.600482999999997</v>
      </c>
      <c r="AE33" s="181">
        <f t="shared" si="21"/>
        <v>24.854401249999999</v>
      </c>
      <c r="AF33" s="181">
        <f t="shared" si="22"/>
        <v>3.9014393749999998</v>
      </c>
      <c r="AG33" s="181">
        <f t="shared" si="23"/>
        <v>0.78028787500000008</v>
      </c>
      <c r="AH33" s="85">
        <f t="shared" si="24"/>
        <v>26.915099999999999</v>
      </c>
      <c r="AI33" s="135">
        <f t="shared" si="25"/>
        <v>49.344349999999999</v>
      </c>
      <c r="AJ33" s="135">
        <f t="shared" si="26"/>
        <v>31.400950000000002</v>
      </c>
      <c r="AK33" s="135">
        <f t="shared" si="27"/>
        <v>4.4858500000000001</v>
      </c>
      <c r="AL33" s="65">
        <f t="shared" si="28"/>
        <v>0.89717000000000002</v>
      </c>
      <c r="AM33" s="66">
        <v>0.9</v>
      </c>
      <c r="AN33" s="66">
        <v>0.75</v>
      </c>
      <c r="AO33" s="66">
        <v>0.9</v>
      </c>
      <c r="AP33" s="66">
        <v>0.1</v>
      </c>
      <c r="AQ33" s="66">
        <v>0.1</v>
      </c>
      <c r="AR33" s="65">
        <f t="shared" si="29"/>
        <v>25.865383724999997</v>
      </c>
      <c r="AS33" s="65">
        <f t="shared" si="30"/>
        <v>38.902639874999998</v>
      </c>
      <c r="AT33" s="65">
        <f t="shared" si="31"/>
        <v>30.407816024999999</v>
      </c>
      <c r="AU33" s="65">
        <f t="shared" si="32"/>
        <v>0.48366606250000005</v>
      </c>
      <c r="AV33" s="65">
        <f t="shared" si="33"/>
        <v>9.6733212499999999E-2</v>
      </c>
      <c r="AW33" s="65">
        <f t="shared" si="34"/>
        <v>2.8739315249999997</v>
      </c>
      <c r="AX33" s="65">
        <f t="shared" si="35"/>
        <v>12.967546624999997</v>
      </c>
      <c r="AY33" s="65">
        <f t="shared" si="36"/>
        <v>3.3786462250000007</v>
      </c>
      <c r="AZ33" s="65">
        <f t="shared" si="37"/>
        <v>4.3529945625000002</v>
      </c>
      <c r="BA33" s="86">
        <f t="shared" si="38"/>
        <v>0.87059891249999999</v>
      </c>
      <c r="BB33" s="83">
        <f t="shared" si="39"/>
        <v>52.428600000000003</v>
      </c>
      <c r="BC33" s="67">
        <f t="shared" si="40"/>
        <v>96.119100000000003</v>
      </c>
      <c r="BD33" s="67">
        <f t="shared" si="41"/>
        <v>61.166700000000006</v>
      </c>
      <c r="BE33" s="68">
        <f t="shared" si="42"/>
        <v>8.7380999999999993</v>
      </c>
      <c r="BF33" s="68">
        <f t="shared" si="43"/>
        <v>1.74762</v>
      </c>
      <c r="BG33" s="67">
        <f t="shared" si="44"/>
        <v>23.897055524999999</v>
      </c>
      <c r="BH33" s="67">
        <f t="shared" si="45"/>
        <v>53.568029624999994</v>
      </c>
      <c r="BI33" s="67">
        <f t="shared" si="46"/>
        <v>28.233047474999999</v>
      </c>
      <c r="BJ33" s="68">
        <f t="shared" si="47"/>
        <v>8.2544339375</v>
      </c>
      <c r="BK33" s="68">
        <f t="shared" si="48"/>
        <v>1.6508867875000002</v>
      </c>
      <c r="BL33" s="67">
        <f t="shared" si="49"/>
        <v>28.531544474999997</v>
      </c>
      <c r="BM33" s="67">
        <f t="shared" si="50"/>
        <v>42.551070374999995</v>
      </c>
      <c r="BN33" s="67">
        <f t="shared" si="51"/>
        <v>32.933652524999999</v>
      </c>
      <c r="BO33" s="68">
        <f t="shared" si="52"/>
        <v>0.48366606250000005</v>
      </c>
      <c r="BP33" s="76">
        <f t="shared" si="53"/>
        <v>9.6733212499999999E-2</v>
      </c>
      <c r="BQ33" s="33">
        <v>423770</v>
      </c>
      <c r="BR33" s="8">
        <v>75905</v>
      </c>
      <c r="BS33" t="s">
        <v>136</v>
      </c>
    </row>
    <row r="34" spans="1:71" x14ac:dyDescent="0.25">
      <c r="A34" s="52"/>
      <c r="B34" s="52">
        <v>74</v>
      </c>
      <c r="C34" s="53" t="s">
        <v>5</v>
      </c>
      <c r="D34" s="118">
        <v>2042</v>
      </c>
      <c r="E34" s="103" t="s">
        <v>165</v>
      </c>
      <c r="F34" s="36" t="s">
        <v>250</v>
      </c>
      <c r="G34" s="110">
        <v>1832</v>
      </c>
      <c r="H34" s="111">
        <v>14</v>
      </c>
      <c r="I34" s="107">
        <f t="shared" si="0"/>
        <v>1846</v>
      </c>
      <c r="J34" s="98">
        <f t="shared" si="1"/>
        <v>0.88100436681222705</v>
      </c>
      <c r="K34" s="99">
        <v>1614</v>
      </c>
      <c r="L34" s="94">
        <f t="shared" si="2"/>
        <v>0.11899563318777293</v>
      </c>
      <c r="M34" s="89">
        <f t="shared" si="3"/>
        <v>218</v>
      </c>
      <c r="N34" s="91">
        <f t="shared" si="4"/>
        <v>4.7742000000000004</v>
      </c>
      <c r="O34" s="182">
        <f t="shared" si="5"/>
        <v>8.7527000000000008</v>
      </c>
      <c r="P34" s="130">
        <f t="shared" si="6"/>
        <v>5.5698999999999996</v>
      </c>
      <c r="Q34" s="130">
        <f t="shared" si="7"/>
        <v>0.79569999999999996</v>
      </c>
      <c r="R34" s="64">
        <f t="shared" si="8"/>
        <v>0.15914</v>
      </c>
      <c r="S34" s="130">
        <f t="shared" si="9"/>
        <v>0.34135530000000003</v>
      </c>
      <c r="T34" s="130">
        <f t="shared" si="10"/>
        <v>0.47264580000000006</v>
      </c>
      <c r="U34" s="130">
        <f t="shared" si="11"/>
        <v>0.4463877</v>
      </c>
      <c r="V34" s="130">
        <f t="shared" si="12"/>
        <v>6.5645250000000002E-2</v>
      </c>
      <c r="W34" s="130">
        <f t="shared" si="13"/>
        <v>1.3129050000000001E-2</v>
      </c>
      <c r="X34" s="130">
        <f t="shared" si="14"/>
        <v>0.49890390000000001</v>
      </c>
      <c r="Y34" s="130">
        <f t="shared" si="15"/>
        <v>0.68271060000000006</v>
      </c>
      <c r="Z34" s="130">
        <f t="shared" si="16"/>
        <v>0.47264580000000006</v>
      </c>
      <c r="AA34" s="130">
        <f t="shared" si="17"/>
        <v>0</v>
      </c>
      <c r="AB34" s="130">
        <f t="shared" si="18"/>
        <v>0</v>
      </c>
      <c r="AC34" s="181">
        <f t="shared" si="19"/>
        <v>3.9339408000000002</v>
      </c>
      <c r="AD34" s="181">
        <f t="shared" si="20"/>
        <v>7.5973436000000003</v>
      </c>
      <c r="AE34" s="181">
        <f t="shared" si="21"/>
        <v>4.6508664999999993</v>
      </c>
      <c r="AF34" s="181">
        <f t="shared" si="22"/>
        <v>0.73005474999999997</v>
      </c>
      <c r="AG34" s="181">
        <f t="shared" si="23"/>
        <v>0.14601095</v>
      </c>
      <c r="AH34" s="85">
        <f t="shared" si="24"/>
        <v>35.653199999999998</v>
      </c>
      <c r="AI34" s="135">
        <f t="shared" si="25"/>
        <v>65.364199999999997</v>
      </c>
      <c r="AJ34" s="135">
        <f t="shared" si="26"/>
        <v>41.595399999999998</v>
      </c>
      <c r="AK34" s="135">
        <f t="shared" si="27"/>
        <v>5.9421999999999997</v>
      </c>
      <c r="AL34" s="65">
        <f t="shared" si="28"/>
        <v>1.1884399999999999</v>
      </c>
      <c r="AM34" s="66">
        <v>0.9</v>
      </c>
      <c r="AN34" s="66">
        <v>0.75</v>
      </c>
      <c r="AO34" s="66">
        <v>0.9</v>
      </c>
      <c r="AP34" s="66">
        <v>0.1</v>
      </c>
      <c r="AQ34" s="66">
        <v>0.1</v>
      </c>
      <c r="AR34" s="65">
        <f t="shared" si="29"/>
        <v>32.395099770000002</v>
      </c>
      <c r="AS34" s="65">
        <f t="shared" si="30"/>
        <v>49.377634349999994</v>
      </c>
      <c r="AT34" s="65">
        <f t="shared" si="31"/>
        <v>37.837608930000002</v>
      </c>
      <c r="AU34" s="65">
        <f t="shared" si="32"/>
        <v>0.60078452500000001</v>
      </c>
      <c r="AV34" s="65">
        <f t="shared" si="33"/>
        <v>0.12015690500000001</v>
      </c>
      <c r="AW34" s="65">
        <f t="shared" si="34"/>
        <v>3.5994555300000002</v>
      </c>
      <c r="AX34" s="65">
        <f t="shared" si="35"/>
        <v>16.459211449999998</v>
      </c>
      <c r="AY34" s="65">
        <f t="shared" si="36"/>
        <v>4.2041787699999986</v>
      </c>
      <c r="AZ34" s="65">
        <f t="shared" si="37"/>
        <v>5.407060725</v>
      </c>
      <c r="BA34" s="86">
        <f t="shared" si="38"/>
        <v>1.081412145</v>
      </c>
      <c r="BB34" s="83">
        <f t="shared" si="39"/>
        <v>40.427399999999999</v>
      </c>
      <c r="BC34" s="67">
        <f t="shared" si="40"/>
        <v>74.116900000000001</v>
      </c>
      <c r="BD34" s="67">
        <f t="shared" si="41"/>
        <v>47.165299999999995</v>
      </c>
      <c r="BE34" s="68">
        <f t="shared" si="42"/>
        <v>6.7378999999999998</v>
      </c>
      <c r="BF34" s="68">
        <f t="shared" si="43"/>
        <v>1.34758</v>
      </c>
      <c r="BG34" s="67">
        <f t="shared" si="44"/>
        <v>7.5333963300000004</v>
      </c>
      <c r="BH34" s="67">
        <f t="shared" si="45"/>
        <v>24.05655505</v>
      </c>
      <c r="BI34" s="67">
        <f t="shared" si="46"/>
        <v>8.855045269999998</v>
      </c>
      <c r="BJ34" s="68">
        <f t="shared" si="47"/>
        <v>6.1371154749999999</v>
      </c>
      <c r="BK34" s="68">
        <f t="shared" si="48"/>
        <v>1.227423095</v>
      </c>
      <c r="BL34" s="67">
        <f t="shared" si="49"/>
        <v>32.894003670000004</v>
      </c>
      <c r="BM34" s="67">
        <f t="shared" si="50"/>
        <v>50.060344949999994</v>
      </c>
      <c r="BN34" s="67">
        <f t="shared" si="51"/>
        <v>38.310254730000004</v>
      </c>
      <c r="BO34" s="68">
        <f t="shared" si="52"/>
        <v>0.60078452500000001</v>
      </c>
      <c r="BP34" s="76">
        <f t="shared" si="53"/>
        <v>0.12015690500000001</v>
      </c>
      <c r="BQ34" s="33">
        <f>376200*0.6</f>
        <v>225720</v>
      </c>
      <c r="BR34" s="8">
        <f>447600*0.6</f>
        <v>268560</v>
      </c>
      <c r="BS34" t="s">
        <v>132</v>
      </c>
    </row>
    <row r="35" spans="1:71" x14ac:dyDescent="0.25">
      <c r="A35" s="52"/>
      <c r="B35" s="52">
        <v>75</v>
      </c>
      <c r="C35" s="53" t="s">
        <v>115</v>
      </c>
      <c r="D35" s="118">
        <v>1987</v>
      </c>
      <c r="E35" s="103" t="s">
        <v>206</v>
      </c>
      <c r="F35" s="36" t="s">
        <v>250</v>
      </c>
      <c r="G35" s="110">
        <v>2116</v>
      </c>
      <c r="H35" s="110">
        <v>4400</v>
      </c>
      <c r="I35" s="107">
        <f t="shared" si="0"/>
        <v>6516</v>
      </c>
      <c r="J35" s="98">
        <f t="shared" si="1"/>
        <v>0.94187145557655949</v>
      </c>
      <c r="K35" s="99">
        <v>1993</v>
      </c>
      <c r="L35" s="94">
        <f t="shared" si="2"/>
        <v>5.8128544423440454E-2</v>
      </c>
      <c r="M35" s="89">
        <f t="shared" si="3"/>
        <v>123</v>
      </c>
      <c r="N35" s="91">
        <f t="shared" si="4"/>
        <v>2.6937000000000002</v>
      </c>
      <c r="O35" s="182">
        <f t="shared" si="5"/>
        <v>4.9384499999999996</v>
      </c>
      <c r="P35" s="130">
        <f t="shared" si="6"/>
        <v>3.1426500000000002</v>
      </c>
      <c r="Q35" s="130">
        <f t="shared" si="7"/>
        <v>0.44895000000000002</v>
      </c>
      <c r="R35" s="64">
        <f t="shared" si="8"/>
        <v>8.9789999999999995E-2</v>
      </c>
      <c r="S35" s="130">
        <f t="shared" si="9"/>
        <v>0.19259955000000001</v>
      </c>
      <c r="T35" s="130">
        <f t="shared" si="10"/>
        <v>0.26667630000000003</v>
      </c>
      <c r="U35" s="130">
        <f t="shared" si="11"/>
        <v>0.25186095000000003</v>
      </c>
      <c r="V35" s="130">
        <f t="shared" si="12"/>
        <v>3.7038375000000005E-2</v>
      </c>
      <c r="W35" s="130">
        <f t="shared" si="13"/>
        <v>7.4076749999999998E-3</v>
      </c>
      <c r="X35" s="130">
        <f t="shared" si="14"/>
        <v>0.28149165000000004</v>
      </c>
      <c r="Y35" s="130">
        <f t="shared" si="15"/>
        <v>0.38519910000000002</v>
      </c>
      <c r="Z35" s="130">
        <f t="shared" si="16"/>
        <v>0.26667630000000003</v>
      </c>
      <c r="AA35" s="130">
        <f t="shared" si="17"/>
        <v>0</v>
      </c>
      <c r="AB35" s="130">
        <f t="shared" si="18"/>
        <v>0</v>
      </c>
      <c r="AC35" s="181">
        <f t="shared" si="19"/>
        <v>2.2196088</v>
      </c>
      <c r="AD35" s="181">
        <f t="shared" si="20"/>
        <v>4.2865745999999989</v>
      </c>
      <c r="AE35" s="181">
        <f t="shared" si="21"/>
        <v>2.6241127500000001</v>
      </c>
      <c r="AF35" s="181">
        <f t="shared" si="22"/>
        <v>0.411911625</v>
      </c>
      <c r="AG35" s="181">
        <f t="shared" si="23"/>
        <v>8.2382324999999992E-2</v>
      </c>
      <c r="AH35" s="85">
        <f t="shared" si="24"/>
        <v>140.0067</v>
      </c>
      <c r="AI35" s="135">
        <f t="shared" si="25"/>
        <v>256.67894999999999</v>
      </c>
      <c r="AJ35" s="135">
        <f t="shared" si="26"/>
        <v>163.34115</v>
      </c>
      <c r="AK35" s="135">
        <f t="shared" si="27"/>
        <v>23.33445</v>
      </c>
      <c r="AL35" s="65">
        <f t="shared" si="28"/>
        <v>4.6668900000000004</v>
      </c>
      <c r="AM35" s="66">
        <v>0.9</v>
      </c>
      <c r="AN35" s="66">
        <v>0.75</v>
      </c>
      <c r="AO35" s="66">
        <v>0.9</v>
      </c>
      <c r="AP35" s="66">
        <v>0.1</v>
      </c>
      <c r="AQ35" s="66">
        <v>0.1</v>
      </c>
      <c r="AR35" s="65">
        <f t="shared" si="29"/>
        <v>126.17936959500001</v>
      </c>
      <c r="AS35" s="65">
        <f t="shared" si="30"/>
        <v>192.70921972499997</v>
      </c>
      <c r="AT35" s="65">
        <f t="shared" si="31"/>
        <v>147.233709855</v>
      </c>
      <c r="AU35" s="65">
        <f t="shared" si="32"/>
        <v>2.3371488375000005</v>
      </c>
      <c r="AV35" s="65">
        <f t="shared" si="33"/>
        <v>0.46742976750000004</v>
      </c>
      <c r="AW35" s="65">
        <f t="shared" si="34"/>
        <v>14.019929954999995</v>
      </c>
      <c r="AX35" s="65">
        <f t="shared" si="35"/>
        <v>64.23640657499999</v>
      </c>
      <c r="AY35" s="65">
        <f t="shared" si="36"/>
        <v>16.359301095000006</v>
      </c>
      <c r="AZ35" s="65">
        <f t="shared" si="37"/>
        <v>21.034339537500003</v>
      </c>
      <c r="BA35" s="86">
        <f t="shared" si="38"/>
        <v>4.2068679075000004</v>
      </c>
      <c r="BB35" s="83">
        <f t="shared" si="39"/>
        <v>142.7004</v>
      </c>
      <c r="BC35" s="67">
        <f t="shared" si="40"/>
        <v>261.61739999999998</v>
      </c>
      <c r="BD35" s="67">
        <f t="shared" si="41"/>
        <v>166.4838</v>
      </c>
      <c r="BE35" s="68">
        <f t="shared" si="42"/>
        <v>23.7834</v>
      </c>
      <c r="BF35" s="68">
        <f t="shared" si="43"/>
        <v>4.7566800000000002</v>
      </c>
      <c r="BG35" s="67">
        <f t="shared" si="44"/>
        <v>16.239538754999995</v>
      </c>
      <c r="BH35" s="67">
        <f t="shared" si="45"/>
        <v>68.522981174999984</v>
      </c>
      <c r="BI35" s="67">
        <f t="shared" si="46"/>
        <v>18.983413845000008</v>
      </c>
      <c r="BJ35" s="68">
        <f t="shared" si="47"/>
        <v>21.446251162500001</v>
      </c>
      <c r="BK35" s="68">
        <f t="shared" si="48"/>
        <v>4.2892502325000006</v>
      </c>
      <c r="BL35" s="67">
        <f t="shared" si="49"/>
        <v>126.46086124500002</v>
      </c>
      <c r="BM35" s="67">
        <f t="shared" si="50"/>
        <v>193.09441882499996</v>
      </c>
      <c r="BN35" s="67">
        <f t="shared" si="51"/>
        <v>147.500386155</v>
      </c>
      <c r="BO35" s="68">
        <f t="shared" si="52"/>
        <v>2.3371488375000005</v>
      </c>
      <c r="BP35" s="76">
        <f t="shared" si="53"/>
        <v>0.46742976750000004</v>
      </c>
      <c r="BQ35" s="33">
        <v>0</v>
      </c>
      <c r="BR35" s="8">
        <v>228780</v>
      </c>
    </row>
    <row r="36" spans="1:71" x14ac:dyDescent="0.25">
      <c r="A36" s="52"/>
      <c r="B36" s="52">
        <v>76</v>
      </c>
      <c r="C36" s="53" t="s">
        <v>113</v>
      </c>
      <c r="D36" s="118">
        <v>1985</v>
      </c>
      <c r="E36" s="103" t="s">
        <v>11</v>
      </c>
      <c r="F36" s="36" t="s">
        <v>250</v>
      </c>
      <c r="G36" s="110">
        <v>1775</v>
      </c>
      <c r="H36" s="111">
        <v>200</v>
      </c>
      <c r="I36" s="107">
        <f t="shared" si="0"/>
        <v>1975</v>
      </c>
      <c r="J36" s="98">
        <f t="shared" si="1"/>
        <v>0.4552112676056338</v>
      </c>
      <c r="K36" s="53">
        <v>808</v>
      </c>
      <c r="L36" s="94">
        <f t="shared" si="2"/>
        <v>0.5447887323943662</v>
      </c>
      <c r="M36" s="89">
        <f t="shared" si="3"/>
        <v>967</v>
      </c>
      <c r="N36" s="91">
        <f t="shared" si="4"/>
        <v>21.177299999999999</v>
      </c>
      <c r="O36" s="182">
        <f t="shared" si="5"/>
        <v>38.825049999999997</v>
      </c>
      <c r="P36" s="130">
        <f t="shared" si="6"/>
        <v>24.706849999999999</v>
      </c>
      <c r="Q36" s="130">
        <f t="shared" si="7"/>
        <v>3.52955</v>
      </c>
      <c r="R36" s="64">
        <f t="shared" si="8"/>
        <v>0.70591000000000004</v>
      </c>
      <c r="S36" s="130">
        <f t="shared" si="9"/>
        <v>1.5141769500000002</v>
      </c>
      <c r="T36" s="130">
        <f t="shared" si="10"/>
        <v>2.0965527000000002</v>
      </c>
      <c r="U36" s="130">
        <f t="shared" si="11"/>
        <v>1.9800775500000001</v>
      </c>
      <c r="V36" s="130">
        <f t="shared" si="12"/>
        <v>0.29118787499999998</v>
      </c>
      <c r="W36" s="130">
        <f t="shared" si="13"/>
        <v>5.8237575000000007E-2</v>
      </c>
      <c r="X36" s="130">
        <f t="shared" si="14"/>
        <v>2.21302785</v>
      </c>
      <c r="Y36" s="130">
        <f t="shared" si="15"/>
        <v>3.0283539000000004</v>
      </c>
      <c r="Z36" s="130">
        <f t="shared" si="16"/>
        <v>2.0965527000000002</v>
      </c>
      <c r="AA36" s="130">
        <f t="shared" si="17"/>
        <v>0</v>
      </c>
      <c r="AB36" s="130">
        <f t="shared" si="18"/>
        <v>0</v>
      </c>
      <c r="AC36" s="181">
        <f t="shared" si="19"/>
        <v>17.4500952</v>
      </c>
      <c r="AD36" s="181">
        <f t="shared" si="20"/>
        <v>33.700143400000002</v>
      </c>
      <c r="AE36" s="181">
        <f t="shared" si="21"/>
        <v>20.630219749999998</v>
      </c>
      <c r="AF36" s="181">
        <f t="shared" si="22"/>
        <v>3.2383621250000001</v>
      </c>
      <c r="AG36" s="181">
        <f t="shared" si="23"/>
        <v>0.647672425</v>
      </c>
      <c r="AH36" s="85">
        <f t="shared" si="24"/>
        <v>22.075199999999999</v>
      </c>
      <c r="AI36" s="135">
        <f t="shared" si="25"/>
        <v>40.471200000000003</v>
      </c>
      <c r="AJ36" s="135">
        <f t="shared" si="26"/>
        <v>25.7544</v>
      </c>
      <c r="AK36" s="135">
        <f t="shared" si="27"/>
        <v>3.6791999999999998</v>
      </c>
      <c r="AL36" s="65">
        <f t="shared" si="28"/>
        <v>0.73584000000000005</v>
      </c>
      <c r="AM36" s="66">
        <v>0.9</v>
      </c>
      <c r="AN36" s="66">
        <v>0.75</v>
      </c>
      <c r="AO36" s="66">
        <v>0.9</v>
      </c>
      <c r="AP36" s="66">
        <v>0.1</v>
      </c>
      <c r="AQ36" s="66">
        <v>0.1</v>
      </c>
      <c r="AR36" s="65">
        <f t="shared" si="29"/>
        <v>21.230439255</v>
      </c>
      <c r="AS36" s="65">
        <f t="shared" si="30"/>
        <v>31.925814525</v>
      </c>
      <c r="AT36" s="65">
        <f t="shared" si="31"/>
        <v>24.961029795000002</v>
      </c>
      <c r="AU36" s="65">
        <f t="shared" si="32"/>
        <v>0.39703878749999999</v>
      </c>
      <c r="AV36" s="65">
        <f t="shared" si="33"/>
        <v>7.9407757500000009E-2</v>
      </c>
      <c r="AW36" s="65">
        <f t="shared" si="34"/>
        <v>2.3589376949999981</v>
      </c>
      <c r="AX36" s="65">
        <f t="shared" si="35"/>
        <v>10.641938175</v>
      </c>
      <c r="AY36" s="65">
        <f t="shared" si="36"/>
        <v>2.7734477549999994</v>
      </c>
      <c r="AZ36" s="65">
        <f t="shared" si="37"/>
        <v>3.5733490874999996</v>
      </c>
      <c r="BA36" s="86">
        <f t="shared" si="38"/>
        <v>0.71466981750000014</v>
      </c>
      <c r="BB36" s="83">
        <f t="shared" si="39"/>
        <v>43.252499999999998</v>
      </c>
      <c r="BC36" s="67">
        <f t="shared" si="40"/>
        <v>79.296250000000001</v>
      </c>
      <c r="BD36" s="67">
        <f t="shared" si="41"/>
        <v>50.46125</v>
      </c>
      <c r="BE36" s="68">
        <f t="shared" si="42"/>
        <v>7.2087500000000002</v>
      </c>
      <c r="BF36" s="68">
        <f t="shared" si="43"/>
        <v>1.4417500000000001</v>
      </c>
      <c r="BG36" s="67">
        <f t="shared" si="44"/>
        <v>19.809032894999998</v>
      </c>
      <c r="BH36" s="67">
        <f t="shared" si="45"/>
        <v>44.342081575000002</v>
      </c>
      <c r="BI36" s="67">
        <f t="shared" si="46"/>
        <v>23.403667504999998</v>
      </c>
      <c r="BJ36" s="68">
        <f t="shared" si="47"/>
        <v>6.8117112124999997</v>
      </c>
      <c r="BK36" s="68">
        <f t="shared" si="48"/>
        <v>1.3623422425</v>
      </c>
      <c r="BL36" s="67">
        <f t="shared" si="49"/>
        <v>23.443467105</v>
      </c>
      <c r="BM36" s="67">
        <f t="shared" si="50"/>
        <v>34.954168424999999</v>
      </c>
      <c r="BN36" s="67">
        <f t="shared" si="51"/>
        <v>27.057582495000002</v>
      </c>
      <c r="BO36" s="68">
        <f t="shared" si="52"/>
        <v>0.39703878749999999</v>
      </c>
      <c r="BP36" s="76">
        <f t="shared" si="53"/>
        <v>7.9407757500000009E-2</v>
      </c>
      <c r="BQ36" s="33">
        <f>1475500*0.6</f>
        <v>885300</v>
      </c>
      <c r="BR36" s="8">
        <f>310200*0.6</f>
        <v>186120</v>
      </c>
      <c r="BS36" t="s">
        <v>129</v>
      </c>
    </row>
    <row r="37" spans="1:71" x14ac:dyDescent="0.25">
      <c r="A37" s="52"/>
      <c r="B37" s="52">
        <v>77</v>
      </c>
      <c r="C37" s="53" t="s">
        <v>114</v>
      </c>
      <c r="D37" s="118">
        <v>1951</v>
      </c>
      <c r="E37" s="103" t="s">
        <v>207</v>
      </c>
      <c r="F37" s="36" t="s">
        <v>250</v>
      </c>
      <c r="G37" s="110">
        <v>2109</v>
      </c>
      <c r="H37" s="111">
        <v>0</v>
      </c>
      <c r="I37" s="107">
        <f t="shared" si="0"/>
        <v>2109</v>
      </c>
      <c r="J37" s="98">
        <f t="shared" si="1"/>
        <v>0.92555713608345191</v>
      </c>
      <c r="K37" s="99">
        <v>1952</v>
      </c>
      <c r="L37" s="94">
        <f t="shared" si="2"/>
        <v>7.4442863916548127E-2</v>
      </c>
      <c r="M37" s="89">
        <f t="shared" si="3"/>
        <v>157</v>
      </c>
      <c r="N37" s="91">
        <f t="shared" si="4"/>
        <v>3.4382999999999999</v>
      </c>
      <c r="O37" s="182">
        <f t="shared" si="5"/>
        <v>6.3035500000000004</v>
      </c>
      <c r="P37" s="130">
        <f t="shared" si="6"/>
        <v>4.0113500000000002</v>
      </c>
      <c r="Q37" s="130">
        <f t="shared" si="7"/>
        <v>0.57304999999999995</v>
      </c>
      <c r="R37" s="64">
        <f t="shared" si="8"/>
        <v>0.11461</v>
      </c>
      <c r="S37" s="130">
        <f t="shared" si="9"/>
        <v>0.24583845000000001</v>
      </c>
      <c r="T37" s="130">
        <f t="shared" si="10"/>
        <v>0.34039170000000002</v>
      </c>
      <c r="U37" s="130">
        <f t="shared" si="11"/>
        <v>0.32148104999999999</v>
      </c>
      <c r="V37" s="130">
        <f t="shared" si="12"/>
        <v>4.7276624999999996E-2</v>
      </c>
      <c r="W37" s="130">
        <f t="shared" si="13"/>
        <v>9.4553250000000005E-3</v>
      </c>
      <c r="X37" s="130">
        <f t="shared" si="14"/>
        <v>0.35930234999999999</v>
      </c>
      <c r="Y37" s="130">
        <f t="shared" si="15"/>
        <v>0.49167690000000003</v>
      </c>
      <c r="Z37" s="130">
        <f t="shared" si="16"/>
        <v>0.34039170000000002</v>
      </c>
      <c r="AA37" s="130">
        <f t="shared" si="17"/>
        <v>0</v>
      </c>
      <c r="AB37" s="130">
        <f t="shared" si="18"/>
        <v>0</v>
      </c>
      <c r="AC37" s="181">
        <f t="shared" si="19"/>
        <v>2.8331591999999999</v>
      </c>
      <c r="AD37" s="181">
        <f t="shared" si="20"/>
        <v>5.4714814000000009</v>
      </c>
      <c r="AE37" s="181">
        <f t="shared" si="21"/>
        <v>3.3494772500000001</v>
      </c>
      <c r="AF37" s="181">
        <f t="shared" si="22"/>
        <v>0.52577337499999999</v>
      </c>
      <c r="AG37" s="181">
        <f t="shared" si="23"/>
        <v>0.105154675</v>
      </c>
      <c r="AH37" s="85">
        <f t="shared" si="24"/>
        <v>42.748800000000003</v>
      </c>
      <c r="AI37" s="135">
        <f t="shared" si="25"/>
        <v>78.372799999999998</v>
      </c>
      <c r="AJ37" s="135">
        <f t="shared" si="26"/>
        <v>49.873600000000003</v>
      </c>
      <c r="AK37" s="135">
        <f t="shared" si="27"/>
        <v>7.1247999999999996</v>
      </c>
      <c r="AL37" s="65">
        <f t="shared" si="28"/>
        <v>1.42496</v>
      </c>
      <c r="AM37" s="66">
        <v>0.9</v>
      </c>
      <c r="AN37" s="66">
        <v>0.75</v>
      </c>
      <c r="AO37" s="66">
        <v>0.9</v>
      </c>
      <c r="AP37" s="66">
        <v>0.1</v>
      </c>
      <c r="AQ37" s="66">
        <v>0.1</v>
      </c>
      <c r="AR37" s="65">
        <f t="shared" si="29"/>
        <v>38.695174605000005</v>
      </c>
      <c r="AS37" s="65">
        <f t="shared" si="30"/>
        <v>59.034893775</v>
      </c>
      <c r="AT37" s="65">
        <f t="shared" si="31"/>
        <v>45.175572945000006</v>
      </c>
      <c r="AU37" s="65">
        <f t="shared" si="32"/>
        <v>0.71720766250000001</v>
      </c>
      <c r="AV37" s="65">
        <f t="shared" si="33"/>
        <v>0.1434415325</v>
      </c>
      <c r="AW37" s="65">
        <f t="shared" si="34"/>
        <v>4.2994638449999982</v>
      </c>
      <c r="AX37" s="65">
        <f t="shared" si="35"/>
        <v>19.678297924999995</v>
      </c>
      <c r="AY37" s="65">
        <f t="shared" si="36"/>
        <v>5.0195081049999999</v>
      </c>
      <c r="AZ37" s="65">
        <f t="shared" si="37"/>
        <v>6.4548689625</v>
      </c>
      <c r="BA37" s="86">
        <f t="shared" si="38"/>
        <v>1.2909737925</v>
      </c>
      <c r="BB37" s="83">
        <f t="shared" si="39"/>
        <v>46.187100000000001</v>
      </c>
      <c r="BC37" s="67">
        <f t="shared" si="40"/>
        <v>84.676349999999999</v>
      </c>
      <c r="BD37" s="67">
        <f t="shared" si="41"/>
        <v>53.884950000000003</v>
      </c>
      <c r="BE37" s="68">
        <f t="shared" si="42"/>
        <v>7.6978499999999999</v>
      </c>
      <c r="BF37" s="68">
        <f t="shared" si="43"/>
        <v>1.5395700000000001</v>
      </c>
      <c r="BG37" s="67">
        <f t="shared" si="44"/>
        <v>7.1326230449999981</v>
      </c>
      <c r="BH37" s="67">
        <f t="shared" si="45"/>
        <v>25.149779324999997</v>
      </c>
      <c r="BI37" s="67">
        <f t="shared" si="46"/>
        <v>8.3689853549999995</v>
      </c>
      <c r="BJ37" s="68">
        <f t="shared" si="47"/>
        <v>6.9806423375</v>
      </c>
      <c r="BK37" s="68">
        <f t="shared" si="48"/>
        <v>1.3961284675000001</v>
      </c>
      <c r="BL37" s="67">
        <f t="shared" si="49"/>
        <v>39.054476955000005</v>
      </c>
      <c r="BM37" s="67">
        <f t="shared" si="50"/>
        <v>59.526570675000002</v>
      </c>
      <c r="BN37" s="67">
        <f t="shared" si="51"/>
        <v>45.515964645000004</v>
      </c>
      <c r="BO37" s="68">
        <f t="shared" si="52"/>
        <v>0.71720766250000001</v>
      </c>
      <c r="BP37" s="76">
        <f t="shared" si="53"/>
        <v>0.1434415325</v>
      </c>
      <c r="BQ37" s="33">
        <v>243015</v>
      </c>
      <c r="BR37" s="8">
        <v>33335</v>
      </c>
      <c r="BS37" t="s">
        <v>129</v>
      </c>
    </row>
    <row r="38" spans="1:71" ht="60" x14ac:dyDescent="0.25">
      <c r="A38" s="52"/>
      <c r="B38" s="52">
        <v>82</v>
      </c>
      <c r="C38" s="53" t="s">
        <v>120</v>
      </c>
      <c r="D38" s="118">
        <v>1673</v>
      </c>
      <c r="E38" s="115" t="s">
        <v>212</v>
      </c>
      <c r="F38" s="40" t="s">
        <v>250</v>
      </c>
      <c r="G38" s="110">
        <v>1915</v>
      </c>
      <c r="H38" s="111">
        <v>0</v>
      </c>
      <c r="I38" s="107">
        <f t="shared" si="0"/>
        <v>1915</v>
      </c>
      <c r="J38" s="98">
        <f t="shared" si="1"/>
        <v>0.65848563968668405</v>
      </c>
      <c r="K38" s="99">
        <v>1261</v>
      </c>
      <c r="L38" s="94">
        <f t="shared" si="2"/>
        <v>0.34151436031331595</v>
      </c>
      <c r="M38" s="89">
        <f t="shared" si="3"/>
        <v>654</v>
      </c>
      <c r="N38" s="91">
        <f t="shared" si="4"/>
        <v>14.3226</v>
      </c>
      <c r="O38" s="182">
        <f t="shared" si="5"/>
        <v>26.258099999999999</v>
      </c>
      <c r="P38" s="130">
        <f t="shared" si="6"/>
        <v>16.709700000000002</v>
      </c>
      <c r="Q38" s="130">
        <f t="shared" si="7"/>
        <v>2.3871000000000002</v>
      </c>
      <c r="R38" s="64">
        <f t="shared" si="8"/>
        <v>0.47742000000000001</v>
      </c>
      <c r="S38" s="130">
        <f t="shared" si="9"/>
        <v>1.0240659000000001</v>
      </c>
      <c r="T38" s="130">
        <f t="shared" si="10"/>
        <v>1.4179374</v>
      </c>
      <c r="U38" s="130">
        <f t="shared" si="11"/>
        <v>1.3391630999999999</v>
      </c>
      <c r="V38" s="130">
        <f t="shared" si="12"/>
        <v>0.19693575000000002</v>
      </c>
      <c r="W38" s="130">
        <f t="shared" si="13"/>
        <v>3.9387150000000003E-2</v>
      </c>
      <c r="X38" s="130">
        <f t="shared" si="14"/>
        <v>1.4967117000000001</v>
      </c>
      <c r="Y38" s="130">
        <f t="shared" si="15"/>
        <v>2.0481318000000002</v>
      </c>
      <c r="Z38" s="130">
        <f t="shared" si="16"/>
        <v>1.4179374</v>
      </c>
      <c r="AA38" s="130">
        <f t="shared" si="17"/>
        <v>0</v>
      </c>
      <c r="AB38" s="130">
        <f t="shared" si="18"/>
        <v>0</v>
      </c>
      <c r="AC38" s="181">
        <f t="shared" si="19"/>
        <v>11.801822399999999</v>
      </c>
      <c r="AD38" s="181">
        <f t="shared" si="20"/>
        <v>22.792030799999999</v>
      </c>
      <c r="AE38" s="181">
        <f t="shared" si="21"/>
        <v>13.952599500000002</v>
      </c>
      <c r="AF38" s="181">
        <f t="shared" si="22"/>
        <v>2.19016425</v>
      </c>
      <c r="AG38" s="181">
        <f t="shared" si="23"/>
        <v>0.43803285000000003</v>
      </c>
      <c r="AH38" s="85">
        <f t="shared" si="24"/>
        <v>27.6159</v>
      </c>
      <c r="AI38" s="135">
        <f t="shared" si="25"/>
        <v>50.629150000000003</v>
      </c>
      <c r="AJ38" s="135">
        <f t="shared" si="26"/>
        <v>32.21855</v>
      </c>
      <c r="AK38" s="135">
        <f t="shared" si="27"/>
        <v>4.6026499999999997</v>
      </c>
      <c r="AL38" s="65">
        <f t="shared" si="28"/>
        <v>0.92052999999999996</v>
      </c>
      <c r="AM38" s="66">
        <v>0.9</v>
      </c>
      <c r="AN38" s="66">
        <v>0.75</v>
      </c>
      <c r="AO38" s="66">
        <v>0.9</v>
      </c>
      <c r="AP38" s="66">
        <v>0.1</v>
      </c>
      <c r="AQ38" s="66">
        <v>0.1</v>
      </c>
      <c r="AR38" s="65">
        <f t="shared" si="29"/>
        <v>25.775969310000001</v>
      </c>
      <c r="AS38" s="65">
        <f t="shared" si="30"/>
        <v>39.03531555</v>
      </c>
      <c r="AT38" s="65">
        <f t="shared" si="31"/>
        <v>30.201941790000003</v>
      </c>
      <c r="AU38" s="65">
        <f t="shared" si="32"/>
        <v>0.47995857499999994</v>
      </c>
      <c r="AV38" s="65">
        <f t="shared" si="33"/>
        <v>9.5991715000000005E-2</v>
      </c>
      <c r="AW38" s="65">
        <f t="shared" si="34"/>
        <v>2.8639965899999993</v>
      </c>
      <c r="AX38" s="65">
        <f t="shared" si="35"/>
        <v>13.011771850000002</v>
      </c>
      <c r="AY38" s="65">
        <f t="shared" si="36"/>
        <v>3.355771309999998</v>
      </c>
      <c r="AZ38" s="65">
        <f t="shared" si="37"/>
        <v>4.319627174999999</v>
      </c>
      <c r="BA38" s="86">
        <f t="shared" si="38"/>
        <v>0.86392543499999996</v>
      </c>
      <c r="BB38" s="83">
        <f t="shared" si="39"/>
        <v>41.938499999999998</v>
      </c>
      <c r="BC38" s="67">
        <f t="shared" si="40"/>
        <v>76.887249999999995</v>
      </c>
      <c r="BD38" s="67">
        <f t="shared" si="41"/>
        <v>48.928250000000006</v>
      </c>
      <c r="BE38" s="68">
        <f t="shared" si="42"/>
        <v>6.9897499999999999</v>
      </c>
      <c r="BF38" s="68">
        <f t="shared" si="43"/>
        <v>1.39795</v>
      </c>
      <c r="BG38" s="67">
        <f t="shared" si="44"/>
        <v>14.665818989999998</v>
      </c>
      <c r="BH38" s="67">
        <f t="shared" si="45"/>
        <v>35.803802650000002</v>
      </c>
      <c r="BI38" s="67">
        <f t="shared" si="46"/>
        <v>17.30837081</v>
      </c>
      <c r="BJ38" s="68">
        <f t="shared" si="47"/>
        <v>6.5097914249999995</v>
      </c>
      <c r="BK38" s="68">
        <f t="shared" si="48"/>
        <v>1.301958285</v>
      </c>
      <c r="BL38" s="67">
        <f t="shared" si="49"/>
        <v>27.272681009999999</v>
      </c>
      <c r="BM38" s="67">
        <f t="shared" si="50"/>
        <v>41.08344735</v>
      </c>
      <c r="BN38" s="67">
        <f t="shared" si="51"/>
        <v>31.619879190000002</v>
      </c>
      <c r="BO38" s="68">
        <f t="shared" si="52"/>
        <v>0.47995857499999994</v>
      </c>
      <c r="BP38" s="76">
        <f t="shared" si="53"/>
        <v>9.5991715000000005E-2</v>
      </c>
      <c r="BQ38" s="33">
        <f>755650+16000+31850</f>
        <v>803500</v>
      </c>
      <c r="BR38" s="8">
        <v>214000</v>
      </c>
      <c r="BS38" t="s">
        <v>129</v>
      </c>
    </row>
    <row r="39" spans="1:71" x14ac:dyDescent="0.25">
      <c r="A39" s="52"/>
      <c r="B39" s="52">
        <v>83</v>
      </c>
      <c r="C39" s="53" t="s">
        <v>121</v>
      </c>
      <c r="D39" s="118">
        <v>1619</v>
      </c>
      <c r="E39" s="115" t="s">
        <v>229</v>
      </c>
      <c r="F39" s="40" t="s">
        <v>250</v>
      </c>
      <c r="G39" s="110">
        <v>1745</v>
      </c>
      <c r="H39" s="111">
        <v>0</v>
      </c>
      <c r="I39" s="107">
        <f t="shared" ref="I39:I74" si="54">G39+H39</f>
        <v>1745</v>
      </c>
      <c r="J39" s="98">
        <f t="shared" ref="J39:J63" si="55">K39/G39</f>
        <v>0.54842406876790828</v>
      </c>
      <c r="K39" s="99">
        <v>957</v>
      </c>
      <c r="L39" s="94">
        <f t="shared" ref="L39:L63" si="56">M39/G39</f>
        <v>0.45157593123209167</v>
      </c>
      <c r="M39" s="89">
        <f t="shared" ref="M39:M63" si="57">G39-K39</f>
        <v>788</v>
      </c>
      <c r="N39" s="91">
        <f t="shared" ref="N39:N74" si="58">M39*60*365/1000000</f>
        <v>17.257200000000001</v>
      </c>
      <c r="O39" s="182">
        <f t="shared" ref="O39:O74" si="59">M39*110*365/1000000</f>
        <v>31.638200000000001</v>
      </c>
      <c r="P39" s="130">
        <f t="shared" ref="P39:P74" si="60">M39*70*365/1000000</f>
        <v>20.133400000000002</v>
      </c>
      <c r="Q39" s="130">
        <f t="shared" ref="Q39:Q74" si="61">M39*10*365/1000000</f>
        <v>2.8761999999999999</v>
      </c>
      <c r="R39" s="64">
        <f t="shared" ref="R39:R74" si="62">M39*2*365/1000000</f>
        <v>0.57523999999999997</v>
      </c>
      <c r="S39" s="130">
        <f t="shared" ref="S39:S74" si="63">M39*13*365/1000000*0.33</f>
        <v>1.2338898</v>
      </c>
      <c r="T39" s="130">
        <f t="shared" ref="T39:T74" si="64">M39*18*365/1000000*0.33</f>
        <v>1.7084627999999999</v>
      </c>
      <c r="U39" s="130">
        <f t="shared" ref="U39:U74" si="65">M39*17*365/1000000*0.33</f>
        <v>1.6135482000000001</v>
      </c>
      <c r="V39" s="130">
        <f t="shared" ref="V39:V74" si="66">M39*2.5*365/1000000*0.33</f>
        <v>0.23728650000000001</v>
      </c>
      <c r="W39" s="130">
        <f t="shared" ref="W39:W74" si="67">M39*0.5*365/1000000*0.33</f>
        <v>4.7457300000000001E-2</v>
      </c>
      <c r="X39" s="130">
        <f t="shared" ref="X39:X74" si="68">M39*19*365/1000000*0.33</f>
        <v>1.8033774000000002</v>
      </c>
      <c r="Y39" s="130">
        <f t="shared" ref="Y39:Y74" si="69">M39*26*365/1000000*0.33</f>
        <v>2.4677796000000001</v>
      </c>
      <c r="Z39" s="130">
        <f t="shared" ref="Z39:Z74" si="70">M39*18*365/1000000*0.33</f>
        <v>1.7084627999999999</v>
      </c>
      <c r="AA39" s="130">
        <f t="shared" ref="AA39:AA74" si="71">M39*0*365/1000000*0.33</f>
        <v>0</v>
      </c>
      <c r="AB39" s="130">
        <f t="shared" ref="AB39:AB74" si="72">M39*0*365/1000000*0.33</f>
        <v>0</v>
      </c>
      <c r="AC39" s="181">
        <f t="shared" ref="AC39:AC74" si="73">N39-S39-X39</f>
        <v>14.2199328</v>
      </c>
      <c r="AD39" s="181">
        <f t="shared" ref="AD39:AD74" si="74">O39-T39-Y39</f>
        <v>27.461957600000002</v>
      </c>
      <c r="AE39" s="181">
        <f t="shared" ref="AE39:AE74" si="75">P39-U39-Z39</f>
        <v>16.811389000000002</v>
      </c>
      <c r="AF39" s="181">
        <f t="shared" ref="AF39:AF74" si="76">Q39-V39-AA39</f>
        <v>2.6389134999999997</v>
      </c>
      <c r="AG39" s="181">
        <f t="shared" ref="AG39:AG74" si="77">R39-W39-AB39</f>
        <v>0.52778269999999994</v>
      </c>
      <c r="AH39" s="85">
        <f t="shared" ref="AH39:AH74" si="78">(K39+H39)*60*365/1000000</f>
        <v>20.958300000000001</v>
      </c>
      <c r="AI39" s="135">
        <f t="shared" ref="AI39:AI74" si="79">($K39+$H39)*110*365/1000000</f>
        <v>38.423549999999999</v>
      </c>
      <c r="AJ39" s="135">
        <f t="shared" ref="AJ39:AJ74" si="80">($K39+$H39)*70*365/1000000</f>
        <v>24.451350000000001</v>
      </c>
      <c r="AK39" s="135">
        <f t="shared" ref="AK39:AK74" si="81">($K39+$H39)*10*365/1000000</f>
        <v>3.4930500000000002</v>
      </c>
      <c r="AL39" s="65">
        <f t="shared" ref="AL39:AL74" si="82">($K39+$H39)*2*365/1000000</f>
        <v>0.69860999999999995</v>
      </c>
      <c r="AM39" s="66">
        <v>0.9</v>
      </c>
      <c r="AN39" s="66">
        <v>0.75</v>
      </c>
      <c r="AO39" s="66">
        <v>0.9</v>
      </c>
      <c r="AP39" s="66">
        <v>0.1</v>
      </c>
      <c r="AQ39" s="66">
        <v>0.1</v>
      </c>
      <c r="AR39" s="65">
        <f t="shared" ref="AR39:AR74" si="83">(S39+AH39)*AM39</f>
        <v>19.97297082</v>
      </c>
      <c r="AS39" s="65">
        <f t="shared" ref="AS39:AS74" si="84">(T39+AI39)*AN39</f>
        <v>30.099009599999999</v>
      </c>
      <c r="AT39" s="65">
        <f t="shared" ref="AT39:AT74" si="85">(U39+AJ39)*AO39</f>
        <v>23.458408380000002</v>
      </c>
      <c r="AU39" s="65">
        <f t="shared" ref="AU39:AU74" si="86">(V39+AK39)*AP39</f>
        <v>0.37303365000000005</v>
      </c>
      <c r="AV39" s="65">
        <f t="shared" ref="AV39:AV74" si="87">(W39+AL39)*AQ39</f>
        <v>7.4606729999999996E-2</v>
      </c>
      <c r="AW39" s="65">
        <f t="shared" ref="AW39:AW74" si="88">S39+AH39-AR39</f>
        <v>2.2192189800000008</v>
      </c>
      <c r="AX39" s="65">
        <f t="shared" ref="AX39:AX74" si="89">T39+AI39-AS39</f>
        <v>10.0330032</v>
      </c>
      <c r="AY39" s="65">
        <f t="shared" ref="AY39:AY74" si="90">U39+AJ39-AT39</f>
        <v>2.6064898200000002</v>
      </c>
      <c r="AZ39" s="65">
        <f t="shared" ref="AZ39:AZ74" si="91">V39+AK39-AU39</f>
        <v>3.3573028500000004</v>
      </c>
      <c r="BA39" s="86">
        <f t="shared" ref="BA39:BA74" si="92">W39+AL39-AV39</f>
        <v>0.67146057000000003</v>
      </c>
      <c r="BB39" s="83">
        <f t="shared" ref="BB39:BB74" si="93">N39+AH39</f>
        <v>38.215500000000006</v>
      </c>
      <c r="BC39" s="67">
        <f t="shared" ref="BC39:BC74" si="94">O39+AI39</f>
        <v>70.061750000000004</v>
      </c>
      <c r="BD39" s="67">
        <f t="shared" ref="BD39:BD74" si="95">P39+AJ39</f>
        <v>44.58475</v>
      </c>
      <c r="BE39" s="68">
        <f t="shared" ref="BE39:BE74" si="96">Q39+AK39</f>
        <v>6.3692500000000001</v>
      </c>
      <c r="BF39" s="68">
        <f t="shared" ref="BF39:BF74" si="97">R39+AL39</f>
        <v>1.2738499999999999</v>
      </c>
      <c r="BG39" s="67">
        <f t="shared" ref="BG39:BG74" si="98">AC39+AW39</f>
        <v>16.439151780000003</v>
      </c>
      <c r="BH39" s="67">
        <f t="shared" ref="BH39:BH74" si="99">AD39+AX39</f>
        <v>37.494960800000001</v>
      </c>
      <c r="BI39" s="67">
        <f t="shared" ref="BI39:BI74" si="100">AE39+AY39</f>
        <v>19.417878820000002</v>
      </c>
      <c r="BJ39" s="68">
        <f t="shared" ref="BJ39:BJ74" si="101">AF39+AZ39</f>
        <v>5.9962163500000001</v>
      </c>
      <c r="BK39" s="68">
        <f t="shared" ref="BK39:BK74" si="102">AG39+BA39</f>
        <v>1.19924327</v>
      </c>
      <c r="BL39" s="67">
        <f t="shared" ref="BL39:BL74" si="103">X39+AR39</f>
        <v>21.776348219999999</v>
      </c>
      <c r="BM39" s="67">
        <f t="shared" ref="BM39:BM74" si="104">Y39+AS39</f>
        <v>32.566789200000002</v>
      </c>
      <c r="BN39" s="67">
        <f t="shared" ref="BN39:BN74" si="105">Z39+AT39</f>
        <v>25.166871180000001</v>
      </c>
      <c r="BO39" s="68">
        <f t="shared" ref="BO39:BO74" si="106">AA39+AU39</f>
        <v>0.37303365000000005</v>
      </c>
      <c r="BP39" s="76">
        <f t="shared" ref="BP39:BP74" si="107">AB39+AV39</f>
        <v>7.4606729999999996E-2</v>
      </c>
      <c r="BQ39" s="33">
        <v>579500</v>
      </c>
      <c r="BR39" s="8">
        <v>16000</v>
      </c>
      <c r="BS39" t="s">
        <v>129</v>
      </c>
    </row>
    <row r="40" spans="1:71" x14ac:dyDescent="0.25">
      <c r="A40" s="52"/>
      <c r="B40" s="52">
        <v>84</v>
      </c>
      <c r="C40" s="53" t="s">
        <v>122</v>
      </c>
      <c r="D40" s="118">
        <v>1534</v>
      </c>
      <c r="E40" s="103" t="s">
        <v>213</v>
      </c>
      <c r="F40" s="36" t="s">
        <v>250</v>
      </c>
      <c r="G40" s="110">
        <v>1494</v>
      </c>
      <c r="H40" s="110">
        <v>1320</v>
      </c>
      <c r="I40" s="107">
        <f t="shared" si="54"/>
        <v>2814</v>
      </c>
      <c r="J40" s="98">
        <f t="shared" si="55"/>
        <v>1</v>
      </c>
      <c r="K40" s="99">
        <v>1494</v>
      </c>
      <c r="L40" s="94">
        <f t="shared" si="56"/>
        <v>0</v>
      </c>
      <c r="M40" s="89">
        <f t="shared" si="57"/>
        <v>0</v>
      </c>
      <c r="N40" s="91">
        <f t="shared" si="58"/>
        <v>0</v>
      </c>
      <c r="O40" s="182">
        <f t="shared" si="59"/>
        <v>0</v>
      </c>
      <c r="P40" s="130">
        <f t="shared" si="60"/>
        <v>0</v>
      </c>
      <c r="Q40" s="130">
        <f t="shared" si="61"/>
        <v>0</v>
      </c>
      <c r="R40" s="64">
        <f t="shared" si="62"/>
        <v>0</v>
      </c>
      <c r="S40" s="130">
        <f t="shared" si="63"/>
        <v>0</v>
      </c>
      <c r="T40" s="130">
        <f t="shared" si="64"/>
        <v>0</v>
      </c>
      <c r="U40" s="130">
        <f t="shared" si="65"/>
        <v>0</v>
      </c>
      <c r="V40" s="130">
        <f t="shared" si="66"/>
        <v>0</v>
      </c>
      <c r="W40" s="130">
        <f t="shared" si="67"/>
        <v>0</v>
      </c>
      <c r="X40" s="130">
        <f t="shared" si="68"/>
        <v>0</v>
      </c>
      <c r="Y40" s="130">
        <f t="shared" si="69"/>
        <v>0</v>
      </c>
      <c r="Z40" s="130">
        <f t="shared" si="70"/>
        <v>0</v>
      </c>
      <c r="AA40" s="130">
        <f t="shared" si="71"/>
        <v>0</v>
      </c>
      <c r="AB40" s="130">
        <f t="shared" si="72"/>
        <v>0</v>
      </c>
      <c r="AC40" s="181">
        <f t="shared" si="73"/>
        <v>0</v>
      </c>
      <c r="AD40" s="181">
        <f t="shared" si="74"/>
        <v>0</v>
      </c>
      <c r="AE40" s="181">
        <f t="shared" si="75"/>
        <v>0</v>
      </c>
      <c r="AF40" s="181">
        <f t="shared" si="76"/>
        <v>0</v>
      </c>
      <c r="AG40" s="181">
        <f t="shared" si="77"/>
        <v>0</v>
      </c>
      <c r="AH40" s="85">
        <f t="shared" si="78"/>
        <v>61.626600000000003</v>
      </c>
      <c r="AI40" s="135">
        <f t="shared" si="79"/>
        <v>112.9821</v>
      </c>
      <c r="AJ40" s="135">
        <f t="shared" si="80"/>
        <v>71.8977</v>
      </c>
      <c r="AK40" s="135">
        <f t="shared" si="81"/>
        <v>10.271100000000001</v>
      </c>
      <c r="AL40" s="65">
        <f t="shared" si="82"/>
        <v>2.0542199999999999</v>
      </c>
      <c r="AM40" s="66">
        <v>0.9</v>
      </c>
      <c r="AN40" s="66">
        <v>0.75</v>
      </c>
      <c r="AO40" s="66">
        <v>0.9</v>
      </c>
      <c r="AP40" s="66">
        <v>0.1</v>
      </c>
      <c r="AQ40" s="66">
        <v>0.1</v>
      </c>
      <c r="AR40" s="65">
        <f t="shared" si="83"/>
        <v>55.463940000000001</v>
      </c>
      <c r="AS40" s="65">
        <f t="shared" si="84"/>
        <v>84.736575000000002</v>
      </c>
      <c r="AT40" s="65">
        <f t="shared" si="85"/>
        <v>64.707930000000005</v>
      </c>
      <c r="AU40" s="65">
        <f t="shared" si="86"/>
        <v>1.0271100000000002</v>
      </c>
      <c r="AV40" s="65">
        <f t="shared" si="87"/>
        <v>0.20542199999999999</v>
      </c>
      <c r="AW40" s="65">
        <f t="shared" si="88"/>
        <v>6.1626600000000025</v>
      </c>
      <c r="AX40" s="65">
        <f t="shared" si="89"/>
        <v>28.245525000000001</v>
      </c>
      <c r="AY40" s="65">
        <f t="shared" si="90"/>
        <v>7.1897699999999958</v>
      </c>
      <c r="AZ40" s="65">
        <f t="shared" si="91"/>
        <v>9.2439900000000002</v>
      </c>
      <c r="BA40" s="86">
        <f t="shared" si="92"/>
        <v>1.8487979999999999</v>
      </c>
      <c r="BB40" s="83">
        <f t="shared" si="93"/>
        <v>61.626600000000003</v>
      </c>
      <c r="BC40" s="67">
        <f t="shared" si="94"/>
        <v>112.9821</v>
      </c>
      <c r="BD40" s="67">
        <f t="shared" si="95"/>
        <v>71.8977</v>
      </c>
      <c r="BE40" s="68">
        <f t="shared" si="96"/>
        <v>10.271100000000001</v>
      </c>
      <c r="BF40" s="68">
        <f t="shared" si="97"/>
        <v>2.0542199999999999</v>
      </c>
      <c r="BG40" s="67">
        <f t="shared" si="98"/>
        <v>6.1626600000000025</v>
      </c>
      <c r="BH40" s="67">
        <f t="shared" si="99"/>
        <v>28.245525000000001</v>
      </c>
      <c r="BI40" s="67">
        <f t="shared" si="100"/>
        <v>7.1897699999999958</v>
      </c>
      <c r="BJ40" s="68">
        <f t="shared" si="101"/>
        <v>9.2439900000000002</v>
      </c>
      <c r="BK40" s="68">
        <f t="shared" si="102"/>
        <v>1.8487979999999999</v>
      </c>
      <c r="BL40" s="67">
        <f t="shared" si="103"/>
        <v>55.463940000000001</v>
      </c>
      <c r="BM40" s="67">
        <f t="shared" si="104"/>
        <v>84.736575000000002</v>
      </c>
      <c r="BN40" s="67">
        <f t="shared" si="105"/>
        <v>64.707930000000005</v>
      </c>
      <c r="BO40" s="68">
        <f t="shared" si="106"/>
        <v>1.0271100000000002</v>
      </c>
      <c r="BP40" s="76">
        <f t="shared" si="107"/>
        <v>0.20542199999999999</v>
      </c>
      <c r="BQ40" s="33">
        <v>0</v>
      </c>
      <c r="BR40" s="8">
        <v>32000</v>
      </c>
      <c r="BS40" t="s">
        <v>188</v>
      </c>
    </row>
    <row r="41" spans="1:71" ht="15.75" thickBot="1" x14ac:dyDescent="0.3">
      <c r="A41" s="52"/>
      <c r="B41" s="302">
        <v>85</v>
      </c>
      <c r="C41" s="305" t="s">
        <v>123</v>
      </c>
      <c r="D41" s="306">
        <v>1443</v>
      </c>
      <c r="E41" s="307" t="s">
        <v>214</v>
      </c>
      <c r="F41" s="36" t="s">
        <v>250</v>
      </c>
      <c r="G41" s="308">
        <v>1430</v>
      </c>
      <c r="H41" s="210">
        <v>0</v>
      </c>
      <c r="I41" s="310">
        <f t="shared" si="54"/>
        <v>1430</v>
      </c>
      <c r="J41" s="311">
        <f t="shared" si="55"/>
        <v>0.45944055944055945</v>
      </c>
      <c r="K41" s="312">
        <v>657</v>
      </c>
      <c r="L41" s="313">
        <f t="shared" si="56"/>
        <v>0.54055944055944061</v>
      </c>
      <c r="M41" s="314">
        <f t="shared" si="57"/>
        <v>773</v>
      </c>
      <c r="N41" s="315">
        <f t="shared" si="58"/>
        <v>16.928699999999999</v>
      </c>
      <c r="O41" s="317">
        <f t="shared" si="59"/>
        <v>31.03595</v>
      </c>
      <c r="P41" s="318">
        <f t="shared" si="60"/>
        <v>19.750150000000001</v>
      </c>
      <c r="Q41" s="318">
        <f t="shared" si="61"/>
        <v>2.82145</v>
      </c>
      <c r="R41" s="319">
        <f t="shared" si="62"/>
        <v>0.56428999999999996</v>
      </c>
      <c r="S41" s="318">
        <f t="shared" si="63"/>
        <v>1.2104020500000001</v>
      </c>
      <c r="T41" s="318">
        <f t="shared" si="64"/>
        <v>1.6759413000000001</v>
      </c>
      <c r="U41" s="318">
        <f t="shared" si="65"/>
        <v>1.5828334500000003</v>
      </c>
      <c r="V41" s="318">
        <f t="shared" si="66"/>
        <v>0.23276962500000001</v>
      </c>
      <c r="W41" s="318">
        <f t="shared" si="67"/>
        <v>4.6553924999999996E-2</v>
      </c>
      <c r="X41" s="318">
        <f t="shared" si="68"/>
        <v>1.7690491500000001</v>
      </c>
      <c r="Y41" s="318">
        <f t="shared" si="69"/>
        <v>2.4208041000000002</v>
      </c>
      <c r="Z41" s="318">
        <f t="shared" si="70"/>
        <v>1.6759413000000001</v>
      </c>
      <c r="AA41" s="318">
        <f t="shared" si="71"/>
        <v>0</v>
      </c>
      <c r="AB41" s="318">
        <f t="shared" si="72"/>
        <v>0</v>
      </c>
      <c r="AC41" s="320">
        <f t="shared" si="73"/>
        <v>13.949248799999998</v>
      </c>
      <c r="AD41" s="320">
        <f t="shared" si="74"/>
        <v>26.939204599999997</v>
      </c>
      <c r="AE41" s="320">
        <f t="shared" si="75"/>
        <v>16.491375250000001</v>
      </c>
      <c r="AF41" s="320">
        <f t="shared" si="76"/>
        <v>2.588680375</v>
      </c>
      <c r="AG41" s="320">
        <f t="shared" si="77"/>
        <v>0.51773607499999996</v>
      </c>
      <c r="AH41" s="321">
        <f t="shared" si="78"/>
        <v>14.388299999999999</v>
      </c>
      <c r="AI41" s="323">
        <f t="shared" si="79"/>
        <v>26.378550000000001</v>
      </c>
      <c r="AJ41" s="323">
        <f t="shared" si="80"/>
        <v>16.786349999999999</v>
      </c>
      <c r="AK41" s="323">
        <f t="shared" si="81"/>
        <v>2.39805</v>
      </c>
      <c r="AL41" s="324">
        <f t="shared" si="82"/>
        <v>0.47960999999999998</v>
      </c>
      <c r="AM41" s="325">
        <v>0.9</v>
      </c>
      <c r="AN41" s="325">
        <v>0.75</v>
      </c>
      <c r="AO41" s="325">
        <v>0.9</v>
      </c>
      <c r="AP41" s="325">
        <v>0.1</v>
      </c>
      <c r="AQ41" s="325">
        <v>0.1</v>
      </c>
      <c r="AR41" s="324">
        <f t="shared" si="83"/>
        <v>14.038831845000001</v>
      </c>
      <c r="AS41" s="324">
        <f t="shared" si="84"/>
        <v>21.040868475000003</v>
      </c>
      <c r="AT41" s="324">
        <f t="shared" si="85"/>
        <v>16.532265104999997</v>
      </c>
      <c r="AU41" s="324">
        <f t="shared" si="86"/>
        <v>0.26308196249999999</v>
      </c>
      <c r="AV41" s="324">
        <f t="shared" si="87"/>
        <v>5.2616392499999998E-2</v>
      </c>
      <c r="AW41" s="324">
        <f t="shared" si="88"/>
        <v>1.5598702049999993</v>
      </c>
      <c r="AX41" s="324">
        <f t="shared" si="89"/>
        <v>7.0136228249999988</v>
      </c>
      <c r="AY41" s="324">
        <f t="shared" si="90"/>
        <v>1.8369183450000008</v>
      </c>
      <c r="AZ41" s="324">
        <f t="shared" si="91"/>
        <v>2.3677376625000002</v>
      </c>
      <c r="BA41" s="326">
        <f t="shared" si="92"/>
        <v>0.47354753249999998</v>
      </c>
      <c r="BB41" s="327">
        <f t="shared" si="93"/>
        <v>31.317</v>
      </c>
      <c r="BC41" s="329">
        <f t="shared" si="94"/>
        <v>57.414500000000004</v>
      </c>
      <c r="BD41" s="329">
        <f t="shared" si="95"/>
        <v>36.536500000000004</v>
      </c>
      <c r="BE41" s="330">
        <f t="shared" si="96"/>
        <v>5.2195</v>
      </c>
      <c r="BF41" s="330">
        <f t="shared" si="97"/>
        <v>1.0438999999999998</v>
      </c>
      <c r="BG41" s="329">
        <f t="shared" si="98"/>
        <v>15.509119004999997</v>
      </c>
      <c r="BH41" s="329">
        <f t="shared" si="99"/>
        <v>33.952827424999995</v>
      </c>
      <c r="BI41" s="329">
        <f t="shared" si="100"/>
        <v>18.328293595000002</v>
      </c>
      <c r="BJ41" s="330">
        <f t="shared" si="101"/>
        <v>4.9564180375000007</v>
      </c>
      <c r="BK41" s="330">
        <f t="shared" si="102"/>
        <v>0.9912836075</v>
      </c>
      <c r="BL41" s="329">
        <f t="shared" si="103"/>
        <v>15.807880995000001</v>
      </c>
      <c r="BM41" s="329">
        <f t="shared" si="104"/>
        <v>23.461672575000005</v>
      </c>
      <c r="BN41" s="329">
        <f t="shared" si="105"/>
        <v>18.208206404999999</v>
      </c>
      <c r="BO41" s="330">
        <f t="shared" si="106"/>
        <v>0.26308196249999999</v>
      </c>
      <c r="BP41" s="331">
        <f t="shared" si="107"/>
        <v>5.2616392499999998E-2</v>
      </c>
      <c r="BQ41" s="33">
        <f>683949+165000</f>
        <v>848949</v>
      </c>
      <c r="BR41" s="8">
        <v>144000</v>
      </c>
      <c r="BS41" t="s">
        <v>129</v>
      </c>
    </row>
    <row r="42" spans="1:71" ht="16.5" thickBot="1" x14ac:dyDescent="0.3">
      <c r="A42" s="52"/>
      <c r="B42" s="455" t="s">
        <v>356</v>
      </c>
      <c r="C42" s="456"/>
      <c r="D42" s="456"/>
      <c r="E42" s="457"/>
      <c r="F42" s="1"/>
      <c r="G42" s="309">
        <f>SUM(G7:G41)</f>
        <v>328662</v>
      </c>
      <c r="H42" s="309">
        <f t="shared" ref="H42:R42" si="108">SUM(H7:H41)</f>
        <v>37517</v>
      </c>
      <c r="I42" s="309">
        <f t="shared" si="108"/>
        <v>366179</v>
      </c>
      <c r="J42" s="333">
        <f>K42/G42</f>
        <v>0.93369479891195206</v>
      </c>
      <c r="K42" s="309">
        <f t="shared" si="108"/>
        <v>306870</v>
      </c>
      <c r="L42" s="333">
        <f>M42/G42</f>
        <v>6.6305201088047896E-2</v>
      </c>
      <c r="M42" s="309">
        <f t="shared" si="108"/>
        <v>21792</v>
      </c>
      <c r="N42" s="316">
        <f t="shared" si="108"/>
        <v>477.24480000000011</v>
      </c>
      <c r="O42" s="316">
        <f t="shared" si="108"/>
        <v>874.94879999999989</v>
      </c>
      <c r="P42" s="316">
        <f t="shared" si="108"/>
        <v>556.78559999999993</v>
      </c>
      <c r="Q42" s="316">
        <f t="shared" si="108"/>
        <v>79.540799999999976</v>
      </c>
      <c r="R42" s="316">
        <f t="shared" si="108"/>
        <v>15.908160000000002</v>
      </c>
      <c r="S42" s="316">
        <f t="shared" ref="S42" si="109">SUM(S7:S41)</f>
        <v>34.123003199999999</v>
      </c>
      <c r="T42" s="316">
        <f t="shared" ref="T42" si="110">SUM(T7:T41)</f>
        <v>47.247235199999992</v>
      </c>
      <c r="U42" s="316">
        <f t="shared" ref="U42" si="111">SUM(U7:U41)</f>
        <v>44.622388800000003</v>
      </c>
      <c r="V42" s="316">
        <f t="shared" ref="V42" si="112">SUM(V7:V41)</f>
        <v>6.5621160000000005</v>
      </c>
      <c r="W42" s="316">
        <f t="shared" ref="W42" si="113">SUM(W7:W41)</f>
        <v>1.3124232</v>
      </c>
      <c r="X42" s="316">
        <f t="shared" ref="X42" si="114">SUM(X7:X41)</f>
        <v>49.872081600000016</v>
      </c>
      <c r="Y42" s="316">
        <f t="shared" ref="Y42" si="115">SUM(Y7:Y41)</f>
        <v>68.246006399999999</v>
      </c>
      <c r="Z42" s="316">
        <f t="shared" ref="Z42" si="116">SUM(Z7:Z41)</f>
        <v>47.247235199999992</v>
      </c>
      <c r="AA42" s="316">
        <f t="shared" ref="AA42" si="117">SUM(AA7:AA41)</f>
        <v>0</v>
      </c>
      <c r="AB42" s="316">
        <f t="shared" ref="AB42:AC42" si="118">SUM(AB7:AB41)</f>
        <v>0</v>
      </c>
      <c r="AC42" s="316">
        <f t="shared" si="118"/>
        <v>393.24971520000008</v>
      </c>
      <c r="AD42" s="316">
        <f t="shared" ref="AD42" si="119">SUM(AD7:AD41)</f>
        <v>759.45555840000009</v>
      </c>
      <c r="AE42" s="316">
        <f t="shared" ref="AE42" si="120">SUM(AE7:AE41)</f>
        <v>464.91597600000006</v>
      </c>
      <c r="AF42" s="316">
        <f t="shared" ref="AF42" si="121">SUM(AF7:AF41)</f>
        <v>72.978684000000001</v>
      </c>
      <c r="AG42" s="316">
        <f>SUM(AG7:AG41)</f>
        <v>14.595736800000003</v>
      </c>
      <c r="AH42" s="322">
        <f t="shared" ref="AH42" si="122">SUM(AH7:AH41)</f>
        <v>7542.0753000000004</v>
      </c>
      <c r="AI42" s="322">
        <f t="shared" ref="AI42" si="123">SUM(AI7:AI41)</f>
        <v>13827.138049999994</v>
      </c>
      <c r="AJ42" s="322">
        <f t="shared" ref="AJ42" si="124">SUM(AJ7:AJ41)</f>
        <v>8799.0878499999999</v>
      </c>
      <c r="AK42" s="322">
        <f t="shared" ref="AK42" si="125">SUM(AK7:AK41)</f>
        <v>1257.0125500000004</v>
      </c>
      <c r="AL42" s="322">
        <f t="shared" ref="AL42" si="126">SUM(AL7:AL41)</f>
        <v>251.40251000000006</v>
      </c>
      <c r="AM42" s="322"/>
      <c r="AN42" s="322"/>
      <c r="AO42" s="322"/>
      <c r="AP42" s="322"/>
      <c r="AQ42" s="322"/>
      <c r="AR42" s="322">
        <f t="shared" ref="AR42" si="127">SUM(AR7:AR41)</f>
        <v>6818.5784728800008</v>
      </c>
      <c r="AS42" s="322">
        <f t="shared" ref="AS42" si="128">SUM(AS7:AS41)</f>
        <v>10405.7889639</v>
      </c>
      <c r="AT42" s="322">
        <f t="shared" ref="AT42" si="129">SUM(AT7:AT41)</f>
        <v>7959.3392149199999</v>
      </c>
      <c r="AU42" s="322">
        <f t="shared" ref="AU42" si="130">SUM(AU7:AU41)</f>
        <v>780.14627963750002</v>
      </c>
      <c r="AV42" s="322">
        <f t="shared" ref="AV42" si="131">SUM(AV7:AV41)</f>
        <v>156.0292559275</v>
      </c>
      <c r="AW42" s="322">
        <f t="shared" ref="AW42" si="132">SUM(AW7:AW41)</f>
        <v>757.61983032000001</v>
      </c>
      <c r="AX42" s="322">
        <f>SUM(AX7:AX41)</f>
        <v>3468.5963212999995</v>
      </c>
      <c r="AY42" s="322">
        <f t="shared" ref="AY42" si="133">SUM(AY7:AY41)</f>
        <v>884.37102387999926</v>
      </c>
      <c r="AZ42" s="322">
        <f t="shared" ref="AZ42" si="134">SUM(AZ7:AZ41)</f>
        <v>483.42838636249996</v>
      </c>
      <c r="BA42" s="322">
        <f t="shared" ref="BA42" si="135">SUM(BA7:BA41)</f>
        <v>96.685677272500001</v>
      </c>
      <c r="BB42" s="328">
        <f t="shared" ref="BB42" si="136">SUM(BB7:BB41)</f>
        <v>8019.320099999999</v>
      </c>
      <c r="BC42" s="328">
        <f t="shared" ref="BC42" si="137">SUM(BC7:BC41)</f>
        <v>14702.086849999996</v>
      </c>
      <c r="BD42" s="328">
        <f t="shared" ref="BD42" si="138">SUM(BD7:BD41)</f>
        <v>9355.873450000001</v>
      </c>
      <c r="BE42" s="328">
        <f t="shared" ref="BE42" si="139">SUM(BE7:BE41)</f>
        <v>1336.5533499999999</v>
      </c>
      <c r="BF42" s="328">
        <f t="shared" ref="BF42" si="140">SUM(BF7:BF41)</f>
        <v>267.31066999999996</v>
      </c>
      <c r="BG42" s="328">
        <f t="shared" ref="BG42" si="141">SUM(BG7:BG41)</f>
        <v>1150.8695455199995</v>
      </c>
      <c r="BH42" s="328">
        <f t="shared" ref="BH42" si="142">SUM(BH7:BH41)</f>
        <v>4228.0518796999995</v>
      </c>
      <c r="BI42" s="328">
        <f t="shared" ref="BI42" si="143">SUM(BI7:BI41)</f>
        <v>1349.2869998799997</v>
      </c>
      <c r="BJ42" s="328">
        <f t="shared" ref="BJ42" si="144">SUM(BJ7:BJ41)</f>
        <v>556.40707036249989</v>
      </c>
      <c r="BK42" s="328">
        <f t="shared" ref="BK42" si="145">SUM(BK7:BK41)</f>
        <v>111.28141407249998</v>
      </c>
      <c r="BL42" s="328">
        <f t="shared" ref="BL42" si="146">SUM(BL7:BL41)</f>
        <v>6868.4505544799995</v>
      </c>
      <c r="BM42" s="328">
        <f t="shared" ref="BM42" si="147">SUM(BM7:BM41)</f>
        <v>10474.034970299999</v>
      </c>
      <c r="BN42" s="328">
        <f>SUM(BN7:BN41)</f>
        <v>8006.5864501200022</v>
      </c>
      <c r="BO42" s="328">
        <f t="shared" ref="BO42" si="148">SUM(BO7:BO41)</f>
        <v>780.14627963750002</v>
      </c>
      <c r="BP42" s="328">
        <f t="shared" ref="BP42" si="149">SUM(BP7:BP41)</f>
        <v>156.0292559275</v>
      </c>
      <c r="BQ42" s="304">
        <f t="shared" ref="BQ42" si="150">SUM(BQ7:BQ41)</f>
        <v>20240089</v>
      </c>
      <c r="BR42" s="304">
        <f t="shared" ref="BR42" si="151">SUM(BR7:BR41)</f>
        <v>13672681</v>
      </c>
    </row>
    <row r="43" spans="1:71" ht="19.5" thickBot="1" x14ac:dyDescent="0.35">
      <c r="A43" s="52"/>
      <c r="B43" s="459" t="s">
        <v>353</v>
      </c>
      <c r="C43" s="460"/>
      <c r="D43" s="460"/>
      <c r="E43" s="460"/>
      <c r="F43" s="460"/>
      <c r="G43" s="460"/>
      <c r="H43" s="460"/>
      <c r="I43" s="461"/>
      <c r="J43" s="334"/>
      <c r="K43" s="335"/>
      <c r="L43" s="336"/>
      <c r="M43" s="337"/>
      <c r="N43" s="338"/>
      <c r="O43" s="339"/>
      <c r="P43" s="340"/>
      <c r="Q43" s="340"/>
      <c r="R43" s="340"/>
      <c r="S43" s="340"/>
      <c r="T43" s="340"/>
      <c r="U43" s="340"/>
      <c r="V43" s="340"/>
      <c r="W43" s="340"/>
      <c r="X43" s="340"/>
      <c r="Y43" s="340"/>
      <c r="Z43" s="340"/>
      <c r="AA43" s="340"/>
      <c r="AB43" s="340"/>
      <c r="AC43" s="341"/>
      <c r="AD43" s="341"/>
      <c r="AE43" s="341"/>
      <c r="AF43" s="341"/>
      <c r="AG43" s="341"/>
      <c r="AH43" s="338"/>
      <c r="AI43" s="340"/>
      <c r="AJ43" s="340"/>
      <c r="AK43" s="340"/>
      <c r="AL43" s="340"/>
      <c r="AM43" s="342"/>
      <c r="AN43" s="342"/>
      <c r="AO43" s="342"/>
      <c r="AP43" s="342"/>
      <c r="AQ43" s="342"/>
      <c r="AR43" s="340"/>
      <c r="AS43" s="340"/>
      <c r="AT43" s="340"/>
      <c r="AU43" s="340"/>
      <c r="AV43" s="340"/>
      <c r="AW43" s="340"/>
      <c r="AX43" s="340"/>
      <c r="AY43" s="340"/>
      <c r="AZ43" s="340"/>
      <c r="BA43" s="343"/>
      <c r="BB43" s="344"/>
      <c r="BC43" s="339"/>
      <c r="BD43" s="339"/>
      <c r="BE43" s="341"/>
      <c r="BF43" s="341"/>
      <c r="BG43" s="339"/>
      <c r="BH43" s="339"/>
      <c r="BI43" s="339"/>
      <c r="BJ43" s="341"/>
      <c r="BK43" s="341"/>
      <c r="BL43" s="339"/>
      <c r="BM43" s="339"/>
      <c r="BN43" s="339"/>
      <c r="BO43" s="341"/>
      <c r="BP43" s="345"/>
      <c r="BQ43" s="33"/>
      <c r="BR43" s="8"/>
    </row>
    <row r="44" spans="1:71" x14ac:dyDescent="0.25">
      <c r="A44" s="52"/>
      <c r="B44" s="52">
        <v>8</v>
      </c>
      <c r="C44" s="53" t="s">
        <v>51</v>
      </c>
      <c r="D44" s="118">
        <v>26674</v>
      </c>
      <c r="E44" s="103" t="s">
        <v>2</v>
      </c>
      <c r="F44" s="36" t="s">
        <v>265</v>
      </c>
      <c r="G44" s="110">
        <v>30852</v>
      </c>
      <c r="H44" s="110">
        <v>42678</v>
      </c>
      <c r="I44" s="107">
        <f t="shared" si="54"/>
        <v>73530</v>
      </c>
      <c r="J44" s="98">
        <f t="shared" si="55"/>
        <v>0.98745624270711785</v>
      </c>
      <c r="K44" s="99">
        <v>30465</v>
      </c>
      <c r="L44" s="94">
        <f t="shared" si="56"/>
        <v>1.2543757292882146E-2</v>
      </c>
      <c r="M44" s="89">
        <f t="shared" si="57"/>
        <v>387</v>
      </c>
      <c r="N44" s="91">
        <f t="shared" si="58"/>
        <v>8.4753000000000007</v>
      </c>
      <c r="O44" s="182">
        <f t="shared" si="59"/>
        <v>15.53805</v>
      </c>
      <c r="P44" s="130">
        <f t="shared" si="60"/>
        <v>9.8878500000000003</v>
      </c>
      <c r="Q44" s="130">
        <f t="shared" si="61"/>
        <v>1.41255</v>
      </c>
      <c r="R44" s="64">
        <f t="shared" si="62"/>
        <v>0.28250999999999998</v>
      </c>
      <c r="S44" s="130">
        <f t="shared" si="63"/>
        <v>0.60598395000000005</v>
      </c>
      <c r="T44" s="130">
        <f t="shared" si="64"/>
        <v>0.83905470000000004</v>
      </c>
      <c r="U44" s="130">
        <f t="shared" si="65"/>
        <v>0.79244055000000002</v>
      </c>
      <c r="V44" s="130">
        <f t="shared" si="66"/>
        <v>0.116535375</v>
      </c>
      <c r="W44" s="130">
        <f t="shared" si="67"/>
        <v>2.3307075E-2</v>
      </c>
      <c r="X44" s="130">
        <f t="shared" si="68"/>
        <v>0.88566884999999995</v>
      </c>
      <c r="Y44" s="130">
        <f t="shared" si="69"/>
        <v>1.2119679000000001</v>
      </c>
      <c r="Z44" s="130">
        <f t="shared" si="70"/>
        <v>0.83905470000000004</v>
      </c>
      <c r="AA44" s="130">
        <f t="shared" si="71"/>
        <v>0</v>
      </c>
      <c r="AB44" s="130">
        <f t="shared" si="72"/>
        <v>0</v>
      </c>
      <c r="AC44" s="181">
        <f t="shared" si="73"/>
        <v>6.9836472000000009</v>
      </c>
      <c r="AD44" s="181">
        <f t="shared" si="74"/>
        <v>13.487027400000001</v>
      </c>
      <c r="AE44" s="181">
        <f t="shared" si="75"/>
        <v>8.2563547499999999</v>
      </c>
      <c r="AF44" s="181">
        <f t="shared" si="76"/>
        <v>1.296014625</v>
      </c>
      <c r="AG44" s="181">
        <f t="shared" si="77"/>
        <v>0.25920292499999997</v>
      </c>
      <c r="AH44" s="85">
        <f t="shared" si="78"/>
        <v>1601.8317</v>
      </c>
      <c r="AI44" s="135">
        <f t="shared" si="79"/>
        <v>2936.6914499999998</v>
      </c>
      <c r="AJ44" s="135">
        <f t="shared" si="80"/>
        <v>1868.8036500000001</v>
      </c>
      <c r="AK44" s="135">
        <f t="shared" si="81"/>
        <v>266.97194999999999</v>
      </c>
      <c r="AL44" s="65">
        <f t="shared" si="82"/>
        <v>53.394390000000001</v>
      </c>
      <c r="AM44" s="66">
        <v>0.9</v>
      </c>
      <c r="AN44" s="66">
        <v>0.75</v>
      </c>
      <c r="AO44" s="66">
        <v>0.9</v>
      </c>
      <c r="AP44" s="66">
        <v>0.8</v>
      </c>
      <c r="AQ44" s="66">
        <v>0.8</v>
      </c>
      <c r="AR44" s="65">
        <f t="shared" si="83"/>
        <v>1442.1939155550001</v>
      </c>
      <c r="AS44" s="65">
        <f t="shared" si="84"/>
        <v>2203.1478785249997</v>
      </c>
      <c r="AT44" s="65">
        <f t="shared" si="85"/>
        <v>1682.6364814950002</v>
      </c>
      <c r="AU44" s="65">
        <f t="shared" si="86"/>
        <v>213.67078830000003</v>
      </c>
      <c r="AV44" s="65">
        <f t="shared" si="87"/>
        <v>42.734157660000001</v>
      </c>
      <c r="AW44" s="65">
        <f t="shared" si="88"/>
        <v>160.24376839499996</v>
      </c>
      <c r="AX44" s="65">
        <f t="shared" si="89"/>
        <v>734.38262617500004</v>
      </c>
      <c r="AY44" s="65">
        <f t="shared" si="90"/>
        <v>186.95960905499987</v>
      </c>
      <c r="AZ44" s="65">
        <f t="shared" si="91"/>
        <v>53.417697074999978</v>
      </c>
      <c r="BA44" s="86">
        <f t="shared" si="92"/>
        <v>10.683539414999998</v>
      </c>
      <c r="BB44" s="83">
        <f t="shared" si="93"/>
        <v>1610.307</v>
      </c>
      <c r="BC44" s="67">
        <f t="shared" si="94"/>
        <v>2952.2294999999999</v>
      </c>
      <c r="BD44" s="67">
        <f t="shared" si="95"/>
        <v>1878.6915000000001</v>
      </c>
      <c r="BE44" s="68">
        <f t="shared" si="96"/>
        <v>268.3845</v>
      </c>
      <c r="BF44" s="68">
        <f t="shared" si="97"/>
        <v>53.676900000000003</v>
      </c>
      <c r="BG44" s="67">
        <f t="shared" si="98"/>
        <v>167.22741559499997</v>
      </c>
      <c r="BH44" s="67">
        <f t="shared" si="99"/>
        <v>747.86965357500003</v>
      </c>
      <c r="BI44" s="67">
        <f t="shared" si="100"/>
        <v>195.21596380499989</v>
      </c>
      <c r="BJ44" s="68">
        <f t="shared" si="101"/>
        <v>54.713711699999976</v>
      </c>
      <c r="BK44" s="68">
        <f t="shared" si="102"/>
        <v>10.942742339999999</v>
      </c>
      <c r="BL44" s="67">
        <f t="shared" si="103"/>
        <v>1443.0795844050001</v>
      </c>
      <c r="BM44" s="67">
        <f t="shared" si="104"/>
        <v>2204.3598464249999</v>
      </c>
      <c r="BN44" s="67">
        <f t="shared" si="105"/>
        <v>1683.4755361950001</v>
      </c>
      <c r="BO44" s="68">
        <f t="shared" si="106"/>
        <v>213.67078830000003</v>
      </c>
      <c r="BP44" s="76">
        <f t="shared" si="107"/>
        <v>42.734157660000001</v>
      </c>
      <c r="BQ44" s="33">
        <f>114000+99000+141300+157280+88000+120000+109000+106000+21000+1078000</f>
        <v>2033580</v>
      </c>
      <c r="BR44" s="8">
        <f>4446000+129800+1500000</f>
        <v>6075800</v>
      </c>
      <c r="BS44" t="s">
        <v>133</v>
      </c>
    </row>
    <row r="45" spans="1:71" x14ac:dyDescent="0.25">
      <c r="A45" s="52"/>
      <c r="B45" s="52">
        <v>13</v>
      </c>
      <c r="C45" s="53" t="s">
        <v>56</v>
      </c>
      <c r="D45" s="118">
        <v>16471</v>
      </c>
      <c r="E45" s="103" t="s">
        <v>2</v>
      </c>
      <c r="F45" s="36" t="s">
        <v>265</v>
      </c>
      <c r="G45" s="110">
        <v>17540</v>
      </c>
      <c r="H45" s="110">
        <v>10100</v>
      </c>
      <c r="I45" s="107">
        <f t="shared" si="54"/>
        <v>27640</v>
      </c>
      <c r="J45" s="98">
        <f t="shared" si="55"/>
        <v>0.97001140250855189</v>
      </c>
      <c r="K45" s="99">
        <v>17014</v>
      </c>
      <c r="L45" s="94">
        <f t="shared" si="56"/>
        <v>2.9988597491448117E-2</v>
      </c>
      <c r="M45" s="89">
        <f t="shared" si="57"/>
        <v>526</v>
      </c>
      <c r="N45" s="91">
        <f t="shared" si="58"/>
        <v>11.519399999999999</v>
      </c>
      <c r="O45" s="182">
        <f t="shared" si="59"/>
        <v>21.1189</v>
      </c>
      <c r="P45" s="130">
        <f t="shared" si="60"/>
        <v>13.439299999999999</v>
      </c>
      <c r="Q45" s="130">
        <f t="shared" si="61"/>
        <v>1.9198999999999999</v>
      </c>
      <c r="R45" s="64">
        <f t="shared" si="62"/>
        <v>0.38397999999999999</v>
      </c>
      <c r="S45" s="130">
        <f t="shared" si="63"/>
        <v>0.82363710000000001</v>
      </c>
      <c r="T45" s="130">
        <f t="shared" si="64"/>
        <v>1.1404206000000001</v>
      </c>
      <c r="U45" s="130">
        <f t="shared" si="65"/>
        <v>1.0770639</v>
      </c>
      <c r="V45" s="130">
        <f t="shared" si="66"/>
        <v>0.15839175</v>
      </c>
      <c r="W45" s="130">
        <f t="shared" si="67"/>
        <v>3.1678350000000001E-2</v>
      </c>
      <c r="X45" s="130">
        <f t="shared" si="68"/>
        <v>1.2037773000000001</v>
      </c>
      <c r="Y45" s="130">
        <f t="shared" si="69"/>
        <v>1.6472742</v>
      </c>
      <c r="Z45" s="130">
        <f t="shared" si="70"/>
        <v>1.1404206000000001</v>
      </c>
      <c r="AA45" s="130">
        <f t="shared" si="71"/>
        <v>0</v>
      </c>
      <c r="AB45" s="130">
        <f t="shared" si="72"/>
        <v>0</v>
      </c>
      <c r="AC45" s="181">
        <f t="shared" si="73"/>
        <v>9.4919855999999978</v>
      </c>
      <c r="AD45" s="181">
        <f t="shared" si="74"/>
        <v>18.331205199999999</v>
      </c>
      <c r="AE45" s="181">
        <f t="shared" si="75"/>
        <v>11.221815499999998</v>
      </c>
      <c r="AF45" s="181">
        <f t="shared" si="76"/>
        <v>1.7615082499999999</v>
      </c>
      <c r="AG45" s="181">
        <f t="shared" si="77"/>
        <v>0.35230164999999997</v>
      </c>
      <c r="AH45" s="85">
        <f t="shared" si="78"/>
        <v>593.79660000000001</v>
      </c>
      <c r="AI45" s="135">
        <f t="shared" si="79"/>
        <v>1088.6270999999999</v>
      </c>
      <c r="AJ45" s="135">
        <f t="shared" si="80"/>
        <v>692.7627</v>
      </c>
      <c r="AK45" s="135">
        <f t="shared" si="81"/>
        <v>98.966099999999997</v>
      </c>
      <c r="AL45" s="65">
        <f t="shared" si="82"/>
        <v>19.793220000000002</v>
      </c>
      <c r="AM45" s="66">
        <v>0.9</v>
      </c>
      <c r="AN45" s="66">
        <v>0.75</v>
      </c>
      <c r="AO45" s="66">
        <v>0.9</v>
      </c>
      <c r="AP45" s="66">
        <v>0.8</v>
      </c>
      <c r="AQ45" s="66">
        <v>0.8</v>
      </c>
      <c r="AR45" s="65">
        <f t="shared" si="83"/>
        <v>535.15821339000001</v>
      </c>
      <c r="AS45" s="65">
        <f t="shared" si="84"/>
        <v>817.32564044999992</v>
      </c>
      <c r="AT45" s="65">
        <f t="shared" si="85"/>
        <v>624.45578751000005</v>
      </c>
      <c r="AU45" s="65">
        <f t="shared" si="86"/>
        <v>79.299593400000006</v>
      </c>
      <c r="AV45" s="65">
        <f t="shared" si="87"/>
        <v>15.859918680000002</v>
      </c>
      <c r="AW45" s="65">
        <f t="shared" si="88"/>
        <v>59.46202371000004</v>
      </c>
      <c r="AX45" s="65">
        <f t="shared" si="89"/>
        <v>272.44188014999997</v>
      </c>
      <c r="AY45" s="65">
        <f t="shared" si="90"/>
        <v>69.38397638999993</v>
      </c>
      <c r="AZ45" s="65">
        <f t="shared" si="91"/>
        <v>19.824898349999998</v>
      </c>
      <c r="BA45" s="86">
        <f t="shared" si="92"/>
        <v>3.96497967</v>
      </c>
      <c r="BB45" s="83">
        <f t="shared" si="93"/>
        <v>605.31600000000003</v>
      </c>
      <c r="BC45" s="67">
        <f t="shared" si="94"/>
        <v>1109.7459999999999</v>
      </c>
      <c r="BD45" s="67">
        <f t="shared" si="95"/>
        <v>706.202</v>
      </c>
      <c r="BE45" s="68">
        <f t="shared" si="96"/>
        <v>100.886</v>
      </c>
      <c r="BF45" s="68">
        <f t="shared" si="97"/>
        <v>20.177200000000003</v>
      </c>
      <c r="BG45" s="67">
        <f t="shared" si="98"/>
        <v>68.954009310000032</v>
      </c>
      <c r="BH45" s="67">
        <f t="shared" si="99"/>
        <v>290.77308534999997</v>
      </c>
      <c r="BI45" s="67">
        <f t="shared" si="100"/>
        <v>80.605791889999921</v>
      </c>
      <c r="BJ45" s="68">
        <f t="shared" si="101"/>
        <v>21.586406599999997</v>
      </c>
      <c r="BK45" s="68">
        <f t="shared" si="102"/>
        <v>4.3172813200000002</v>
      </c>
      <c r="BL45" s="67">
        <f t="shared" si="103"/>
        <v>536.36199068999997</v>
      </c>
      <c r="BM45" s="67">
        <f t="shared" si="104"/>
        <v>818.97291464999989</v>
      </c>
      <c r="BN45" s="67">
        <f t="shared" si="105"/>
        <v>625.59620811000002</v>
      </c>
      <c r="BO45" s="68">
        <f t="shared" si="106"/>
        <v>79.299593400000006</v>
      </c>
      <c r="BP45" s="76">
        <f t="shared" si="107"/>
        <v>15.859918680000002</v>
      </c>
      <c r="BQ45" s="33">
        <v>647005</v>
      </c>
      <c r="BR45" s="8">
        <v>978105</v>
      </c>
      <c r="BS45" t="s">
        <v>129</v>
      </c>
    </row>
    <row r="46" spans="1:71" ht="30" x14ac:dyDescent="0.25">
      <c r="A46" s="52"/>
      <c r="B46" s="52">
        <v>17</v>
      </c>
      <c r="C46" s="53" t="s">
        <v>60</v>
      </c>
      <c r="D46" s="118">
        <v>10665</v>
      </c>
      <c r="E46" s="115" t="s">
        <v>135</v>
      </c>
      <c r="F46" s="40" t="s">
        <v>265</v>
      </c>
      <c r="G46" s="110">
        <v>14688</v>
      </c>
      <c r="H46" s="111">
        <v>523</v>
      </c>
      <c r="I46" s="107">
        <f t="shared" si="54"/>
        <v>15211</v>
      </c>
      <c r="J46" s="98">
        <f t="shared" si="55"/>
        <v>0.86117919389978215</v>
      </c>
      <c r="K46" s="99">
        <v>12649</v>
      </c>
      <c r="L46" s="94">
        <f t="shared" si="56"/>
        <v>0.13882080610021785</v>
      </c>
      <c r="M46" s="89">
        <f t="shared" si="57"/>
        <v>2039</v>
      </c>
      <c r="N46" s="91">
        <f t="shared" si="58"/>
        <v>44.6541</v>
      </c>
      <c r="O46" s="182">
        <f t="shared" si="59"/>
        <v>81.865849999999995</v>
      </c>
      <c r="P46" s="130">
        <f t="shared" si="60"/>
        <v>52.096449999999997</v>
      </c>
      <c r="Q46" s="130">
        <f t="shared" si="61"/>
        <v>7.4423500000000002</v>
      </c>
      <c r="R46" s="64">
        <f t="shared" si="62"/>
        <v>1.48847</v>
      </c>
      <c r="S46" s="130">
        <f t="shared" si="63"/>
        <v>3.1927681500000005</v>
      </c>
      <c r="T46" s="130">
        <f t="shared" si="64"/>
        <v>4.4207558999999996</v>
      </c>
      <c r="U46" s="130">
        <f t="shared" si="65"/>
        <v>4.1751583500000002</v>
      </c>
      <c r="V46" s="130">
        <f t="shared" si="66"/>
        <v>0.61399387500000002</v>
      </c>
      <c r="W46" s="130">
        <f t="shared" si="67"/>
        <v>0.122798775</v>
      </c>
      <c r="X46" s="130">
        <f t="shared" si="68"/>
        <v>4.6663534500000008</v>
      </c>
      <c r="Y46" s="130">
        <f t="shared" si="69"/>
        <v>6.3855363000000009</v>
      </c>
      <c r="Z46" s="130">
        <f t="shared" si="70"/>
        <v>4.4207558999999996</v>
      </c>
      <c r="AA46" s="130">
        <f t="shared" si="71"/>
        <v>0</v>
      </c>
      <c r="AB46" s="130">
        <f t="shared" si="72"/>
        <v>0</v>
      </c>
      <c r="AC46" s="181">
        <f t="shared" si="73"/>
        <v>36.794978399999998</v>
      </c>
      <c r="AD46" s="181">
        <f t="shared" si="74"/>
        <v>71.059557799999993</v>
      </c>
      <c r="AE46" s="181">
        <f t="shared" si="75"/>
        <v>43.500535749999997</v>
      </c>
      <c r="AF46" s="181">
        <f t="shared" si="76"/>
        <v>6.828356125</v>
      </c>
      <c r="AG46" s="181">
        <f t="shared" si="77"/>
        <v>1.365671225</v>
      </c>
      <c r="AH46" s="85">
        <f t="shared" si="78"/>
        <v>288.46679999999998</v>
      </c>
      <c r="AI46" s="135">
        <f t="shared" si="79"/>
        <v>528.85580000000004</v>
      </c>
      <c r="AJ46" s="135">
        <f t="shared" si="80"/>
        <v>336.5446</v>
      </c>
      <c r="AK46" s="135">
        <f t="shared" si="81"/>
        <v>48.077800000000003</v>
      </c>
      <c r="AL46" s="65">
        <f t="shared" si="82"/>
        <v>9.6155600000000003</v>
      </c>
      <c r="AM46" s="66">
        <v>0.9</v>
      </c>
      <c r="AN46" s="66">
        <v>0.75</v>
      </c>
      <c r="AO46" s="66">
        <v>0.9</v>
      </c>
      <c r="AP46" s="66">
        <v>0.8</v>
      </c>
      <c r="AQ46" s="66">
        <v>0.8</v>
      </c>
      <c r="AR46" s="65">
        <f t="shared" si="83"/>
        <v>262.49361133499997</v>
      </c>
      <c r="AS46" s="65">
        <f t="shared" si="84"/>
        <v>399.95741692500008</v>
      </c>
      <c r="AT46" s="65">
        <f t="shared" si="85"/>
        <v>306.64778251500002</v>
      </c>
      <c r="AU46" s="65">
        <f t="shared" si="86"/>
        <v>38.953435100000007</v>
      </c>
      <c r="AV46" s="65">
        <f t="shared" si="87"/>
        <v>7.79068702</v>
      </c>
      <c r="AW46" s="65">
        <f t="shared" si="88"/>
        <v>29.165956815000015</v>
      </c>
      <c r="AX46" s="65">
        <f t="shared" si="89"/>
        <v>133.31913897499999</v>
      </c>
      <c r="AY46" s="65">
        <f t="shared" si="90"/>
        <v>34.071975834999989</v>
      </c>
      <c r="AZ46" s="65">
        <f t="shared" si="91"/>
        <v>9.7383587749999947</v>
      </c>
      <c r="BA46" s="86">
        <f t="shared" si="92"/>
        <v>1.947671755</v>
      </c>
      <c r="BB46" s="83">
        <f t="shared" si="93"/>
        <v>333.12090000000001</v>
      </c>
      <c r="BC46" s="67">
        <f t="shared" si="94"/>
        <v>610.72165000000007</v>
      </c>
      <c r="BD46" s="67">
        <f t="shared" si="95"/>
        <v>388.64105000000001</v>
      </c>
      <c r="BE46" s="68">
        <f t="shared" si="96"/>
        <v>55.520150000000001</v>
      </c>
      <c r="BF46" s="68">
        <f t="shared" si="97"/>
        <v>11.10403</v>
      </c>
      <c r="BG46" s="67">
        <f t="shared" si="98"/>
        <v>65.960935215000006</v>
      </c>
      <c r="BH46" s="67">
        <f t="shared" si="99"/>
        <v>204.37869677499998</v>
      </c>
      <c r="BI46" s="67">
        <f t="shared" si="100"/>
        <v>77.572511584999987</v>
      </c>
      <c r="BJ46" s="68">
        <f t="shared" si="101"/>
        <v>16.566714899999994</v>
      </c>
      <c r="BK46" s="68">
        <f t="shared" si="102"/>
        <v>3.3133429799999998</v>
      </c>
      <c r="BL46" s="67">
        <f t="shared" si="103"/>
        <v>267.15996478499994</v>
      </c>
      <c r="BM46" s="67">
        <f t="shared" si="104"/>
        <v>406.34295322500009</v>
      </c>
      <c r="BN46" s="67">
        <f t="shared" si="105"/>
        <v>311.06853841500003</v>
      </c>
      <c r="BO46" s="68">
        <f t="shared" si="106"/>
        <v>38.953435100000007</v>
      </c>
      <c r="BP46" s="76">
        <f t="shared" si="107"/>
        <v>7.79068702</v>
      </c>
      <c r="BQ46" s="33">
        <f>724300+400000+498860+142900+25000+150000</f>
        <v>1941060</v>
      </c>
      <c r="BR46" s="8">
        <f>29500+50000</f>
        <v>79500</v>
      </c>
      <c r="BS46" t="s">
        <v>136</v>
      </c>
    </row>
    <row r="47" spans="1:71" ht="45" x14ac:dyDescent="0.25">
      <c r="A47" s="52"/>
      <c r="B47" s="52">
        <v>27</v>
      </c>
      <c r="C47" s="53" t="s">
        <v>71</v>
      </c>
      <c r="D47" s="118">
        <v>7786</v>
      </c>
      <c r="E47" s="115" t="s">
        <v>140</v>
      </c>
      <c r="F47" s="40" t="s">
        <v>265</v>
      </c>
      <c r="G47" s="110">
        <v>8585</v>
      </c>
      <c r="H47" s="110">
        <v>46</v>
      </c>
      <c r="I47" s="107">
        <f t="shared" si="54"/>
        <v>8631</v>
      </c>
      <c r="J47" s="98">
        <f t="shared" si="55"/>
        <v>0.84787419918462437</v>
      </c>
      <c r="K47" s="99">
        <v>7279</v>
      </c>
      <c r="L47" s="94">
        <f t="shared" si="56"/>
        <v>0.15212580081537566</v>
      </c>
      <c r="M47" s="89">
        <f t="shared" si="57"/>
        <v>1306</v>
      </c>
      <c r="N47" s="91">
        <f t="shared" si="58"/>
        <v>28.601400000000002</v>
      </c>
      <c r="O47" s="182">
        <f t="shared" si="59"/>
        <v>52.435899999999997</v>
      </c>
      <c r="P47" s="130">
        <f t="shared" si="60"/>
        <v>33.368299999999998</v>
      </c>
      <c r="Q47" s="130">
        <f t="shared" si="61"/>
        <v>4.7668999999999997</v>
      </c>
      <c r="R47" s="64">
        <f t="shared" si="62"/>
        <v>0.95338000000000001</v>
      </c>
      <c r="S47" s="130">
        <f t="shared" si="63"/>
        <v>2.0450001000000002</v>
      </c>
      <c r="T47" s="130">
        <f t="shared" si="64"/>
        <v>2.8315386</v>
      </c>
      <c r="U47" s="130">
        <f t="shared" si="65"/>
        <v>2.6742309000000004</v>
      </c>
      <c r="V47" s="130">
        <f t="shared" si="66"/>
        <v>0.39326925000000001</v>
      </c>
      <c r="W47" s="130">
        <f t="shared" si="67"/>
        <v>7.8653849999999997E-2</v>
      </c>
      <c r="X47" s="130">
        <f t="shared" si="68"/>
        <v>2.9888463000000001</v>
      </c>
      <c r="Y47" s="130">
        <f t="shared" si="69"/>
        <v>4.0900002000000004</v>
      </c>
      <c r="Z47" s="130">
        <f t="shared" si="70"/>
        <v>2.8315386</v>
      </c>
      <c r="AA47" s="130">
        <f t="shared" si="71"/>
        <v>0</v>
      </c>
      <c r="AB47" s="130">
        <f t="shared" si="72"/>
        <v>0</v>
      </c>
      <c r="AC47" s="181">
        <f t="shared" si="73"/>
        <v>23.567553600000004</v>
      </c>
      <c r="AD47" s="181">
        <f t="shared" si="74"/>
        <v>45.514361199999996</v>
      </c>
      <c r="AE47" s="181">
        <f t="shared" si="75"/>
        <v>27.862530499999998</v>
      </c>
      <c r="AF47" s="181">
        <f t="shared" si="76"/>
        <v>4.3736307499999993</v>
      </c>
      <c r="AG47" s="181">
        <f t="shared" si="77"/>
        <v>0.87472614999999998</v>
      </c>
      <c r="AH47" s="85">
        <f t="shared" si="78"/>
        <v>160.41749999999999</v>
      </c>
      <c r="AI47" s="135">
        <f t="shared" si="79"/>
        <v>294.09875</v>
      </c>
      <c r="AJ47" s="135">
        <f t="shared" si="80"/>
        <v>187.15375</v>
      </c>
      <c r="AK47" s="135">
        <f t="shared" si="81"/>
        <v>26.736249999999998</v>
      </c>
      <c r="AL47" s="65">
        <f t="shared" si="82"/>
        <v>5.3472499999999998</v>
      </c>
      <c r="AM47" s="66">
        <v>0.9</v>
      </c>
      <c r="AN47" s="66">
        <v>0.75</v>
      </c>
      <c r="AO47" s="66">
        <v>0.9</v>
      </c>
      <c r="AP47" s="66">
        <v>0.1</v>
      </c>
      <c r="AQ47" s="66">
        <v>0.1</v>
      </c>
      <c r="AR47" s="65">
        <f t="shared" si="83"/>
        <v>146.21625009000002</v>
      </c>
      <c r="AS47" s="65">
        <f t="shared" si="84"/>
        <v>222.69771644999997</v>
      </c>
      <c r="AT47" s="65">
        <f t="shared" si="85"/>
        <v>170.84518281000001</v>
      </c>
      <c r="AU47" s="65">
        <f t="shared" si="86"/>
        <v>2.712951925</v>
      </c>
      <c r="AV47" s="65">
        <f t="shared" si="87"/>
        <v>0.54259038500000001</v>
      </c>
      <c r="AW47" s="65">
        <f t="shared" si="88"/>
        <v>16.246250009999983</v>
      </c>
      <c r="AX47" s="65">
        <f t="shared" si="89"/>
        <v>74.23257215000001</v>
      </c>
      <c r="AY47" s="65">
        <f t="shared" si="90"/>
        <v>18.982798089999989</v>
      </c>
      <c r="AZ47" s="65">
        <f t="shared" si="91"/>
        <v>24.416567324999999</v>
      </c>
      <c r="BA47" s="86">
        <f t="shared" si="92"/>
        <v>4.8833134650000005</v>
      </c>
      <c r="BB47" s="83">
        <f t="shared" si="93"/>
        <v>189.0189</v>
      </c>
      <c r="BC47" s="67">
        <f t="shared" si="94"/>
        <v>346.53465</v>
      </c>
      <c r="BD47" s="67">
        <f t="shared" si="95"/>
        <v>220.52205000000001</v>
      </c>
      <c r="BE47" s="68">
        <f t="shared" si="96"/>
        <v>31.503149999999998</v>
      </c>
      <c r="BF47" s="68">
        <f t="shared" si="97"/>
        <v>6.30063</v>
      </c>
      <c r="BG47" s="67">
        <f t="shared" si="98"/>
        <v>39.813803609999987</v>
      </c>
      <c r="BH47" s="67">
        <f t="shared" si="99"/>
        <v>119.74693335000001</v>
      </c>
      <c r="BI47" s="67">
        <f t="shared" si="100"/>
        <v>46.845328589999987</v>
      </c>
      <c r="BJ47" s="68">
        <f t="shared" si="101"/>
        <v>28.790198074999999</v>
      </c>
      <c r="BK47" s="68">
        <f t="shared" si="102"/>
        <v>5.7580396150000004</v>
      </c>
      <c r="BL47" s="67">
        <f t="shared" si="103"/>
        <v>149.20509639000002</v>
      </c>
      <c r="BM47" s="67">
        <f t="shared" si="104"/>
        <v>226.78771664999996</v>
      </c>
      <c r="BN47" s="67">
        <f t="shared" si="105"/>
        <v>173.67672141</v>
      </c>
      <c r="BO47" s="68">
        <f t="shared" si="106"/>
        <v>2.712951925</v>
      </c>
      <c r="BP47" s="76">
        <f t="shared" si="107"/>
        <v>0.54259038500000001</v>
      </c>
      <c r="BQ47" s="33">
        <f>173556+93358+100539+86071+58900+80091+55700+67250</f>
        <v>715465</v>
      </c>
      <c r="BR47" s="8">
        <f>63552+280840</f>
        <v>344392</v>
      </c>
      <c r="BS47" t="s">
        <v>141</v>
      </c>
    </row>
    <row r="48" spans="1:71" x14ac:dyDescent="0.25">
      <c r="A48" s="52"/>
      <c r="B48" s="52">
        <v>29</v>
      </c>
      <c r="C48" s="53" t="s">
        <v>69</v>
      </c>
      <c r="D48" s="118">
        <v>7589</v>
      </c>
      <c r="E48" s="103" t="s">
        <v>1</v>
      </c>
      <c r="F48" s="36" t="s">
        <v>265</v>
      </c>
      <c r="G48" s="110">
        <v>8696</v>
      </c>
      <c r="H48" s="110">
        <v>2354</v>
      </c>
      <c r="I48" s="107">
        <f t="shared" si="54"/>
        <v>11050</v>
      </c>
      <c r="J48" s="98">
        <f t="shared" si="55"/>
        <v>1</v>
      </c>
      <c r="K48" s="99">
        <v>8696</v>
      </c>
      <c r="L48" s="94">
        <f t="shared" si="56"/>
        <v>0</v>
      </c>
      <c r="M48" s="89">
        <f t="shared" si="57"/>
        <v>0</v>
      </c>
      <c r="N48" s="91">
        <f t="shared" si="58"/>
        <v>0</v>
      </c>
      <c r="O48" s="182">
        <f t="shared" si="59"/>
        <v>0</v>
      </c>
      <c r="P48" s="130">
        <f t="shared" si="60"/>
        <v>0</v>
      </c>
      <c r="Q48" s="130">
        <f t="shared" si="61"/>
        <v>0</v>
      </c>
      <c r="R48" s="64">
        <f t="shared" si="62"/>
        <v>0</v>
      </c>
      <c r="S48" s="130">
        <f t="shared" si="63"/>
        <v>0</v>
      </c>
      <c r="T48" s="130">
        <f t="shared" si="64"/>
        <v>0</v>
      </c>
      <c r="U48" s="130">
        <f t="shared" si="65"/>
        <v>0</v>
      </c>
      <c r="V48" s="130">
        <f t="shared" si="66"/>
        <v>0</v>
      </c>
      <c r="W48" s="130">
        <f t="shared" si="67"/>
        <v>0</v>
      </c>
      <c r="X48" s="130">
        <f t="shared" si="68"/>
        <v>0</v>
      </c>
      <c r="Y48" s="130">
        <f t="shared" si="69"/>
        <v>0</v>
      </c>
      <c r="Z48" s="130">
        <f t="shared" si="70"/>
        <v>0</v>
      </c>
      <c r="AA48" s="130">
        <f t="shared" si="71"/>
        <v>0</v>
      </c>
      <c r="AB48" s="130">
        <f t="shared" si="72"/>
        <v>0</v>
      </c>
      <c r="AC48" s="181">
        <f t="shared" si="73"/>
        <v>0</v>
      </c>
      <c r="AD48" s="181">
        <f t="shared" si="74"/>
        <v>0</v>
      </c>
      <c r="AE48" s="181">
        <f t="shared" si="75"/>
        <v>0</v>
      </c>
      <c r="AF48" s="181">
        <f t="shared" si="76"/>
        <v>0</v>
      </c>
      <c r="AG48" s="181">
        <f t="shared" si="77"/>
        <v>0</v>
      </c>
      <c r="AH48" s="85">
        <f t="shared" si="78"/>
        <v>241.995</v>
      </c>
      <c r="AI48" s="135">
        <f t="shared" si="79"/>
        <v>443.65750000000003</v>
      </c>
      <c r="AJ48" s="135">
        <f t="shared" si="80"/>
        <v>282.32749999999999</v>
      </c>
      <c r="AK48" s="135">
        <f t="shared" si="81"/>
        <v>40.332500000000003</v>
      </c>
      <c r="AL48" s="65">
        <f t="shared" si="82"/>
        <v>8.0664999999999996</v>
      </c>
      <c r="AM48" s="66">
        <v>0.9</v>
      </c>
      <c r="AN48" s="66">
        <v>0.75</v>
      </c>
      <c r="AO48" s="66">
        <v>0.9</v>
      </c>
      <c r="AP48" s="66">
        <v>0.8</v>
      </c>
      <c r="AQ48" s="66">
        <v>0.8</v>
      </c>
      <c r="AR48" s="65">
        <f t="shared" si="83"/>
        <v>217.7955</v>
      </c>
      <c r="AS48" s="65">
        <f t="shared" si="84"/>
        <v>332.74312500000002</v>
      </c>
      <c r="AT48" s="65">
        <f t="shared" si="85"/>
        <v>254.09475</v>
      </c>
      <c r="AU48" s="65">
        <f t="shared" si="86"/>
        <v>32.266000000000005</v>
      </c>
      <c r="AV48" s="65">
        <f t="shared" si="87"/>
        <v>6.4531999999999998</v>
      </c>
      <c r="AW48" s="65">
        <f t="shared" si="88"/>
        <v>24.1995</v>
      </c>
      <c r="AX48" s="65">
        <f t="shared" si="89"/>
        <v>110.91437500000001</v>
      </c>
      <c r="AY48" s="65">
        <f t="shared" si="90"/>
        <v>28.232749999999982</v>
      </c>
      <c r="AZ48" s="65">
        <f t="shared" si="91"/>
        <v>8.0664999999999978</v>
      </c>
      <c r="BA48" s="86">
        <f t="shared" si="92"/>
        <v>1.6132999999999997</v>
      </c>
      <c r="BB48" s="83">
        <f t="shared" si="93"/>
        <v>241.995</v>
      </c>
      <c r="BC48" s="67">
        <f t="shared" si="94"/>
        <v>443.65750000000003</v>
      </c>
      <c r="BD48" s="67">
        <f t="shared" si="95"/>
        <v>282.32749999999999</v>
      </c>
      <c r="BE48" s="68">
        <f t="shared" si="96"/>
        <v>40.332500000000003</v>
      </c>
      <c r="BF48" s="68">
        <f t="shared" si="97"/>
        <v>8.0664999999999996</v>
      </c>
      <c r="BG48" s="67">
        <f t="shared" si="98"/>
        <v>24.1995</v>
      </c>
      <c r="BH48" s="67">
        <f t="shared" si="99"/>
        <v>110.91437500000001</v>
      </c>
      <c r="BI48" s="67">
        <f t="shared" si="100"/>
        <v>28.232749999999982</v>
      </c>
      <c r="BJ48" s="68">
        <f t="shared" si="101"/>
        <v>8.0664999999999978</v>
      </c>
      <c r="BK48" s="68">
        <f t="shared" si="102"/>
        <v>1.6132999999999997</v>
      </c>
      <c r="BL48" s="67">
        <f t="shared" si="103"/>
        <v>217.7955</v>
      </c>
      <c r="BM48" s="67">
        <f t="shared" si="104"/>
        <v>332.74312500000002</v>
      </c>
      <c r="BN48" s="67">
        <f t="shared" si="105"/>
        <v>254.09475</v>
      </c>
      <c r="BO48" s="68">
        <f t="shared" si="106"/>
        <v>32.266000000000005</v>
      </c>
      <c r="BP48" s="76">
        <f t="shared" si="107"/>
        <v>6.4531999999999998</v>
      </c>
      <c r="BQ48" s="33">
        <v>0</v>
      </c>
      <c r="BR48" s="8">
        <f>323320+61950+3040+15340+44840</f>
        <v>448490</v>
      </c>
      <c r="BS48" t="s">
        <v>129</v>
      </c>
    </row>
    <row r="49" spans="1:71" x14ac:dyDescent="0.25">
      <c r="A49" s="52"/>
      <c r="B49" s="52">
        <v>36</v>
      </c>
      <c r="C49" s="53" t="s">
        <v>76</v>
      </c>
      <c r="D49" s="118">
        <v>5706</v>
      </c>
      <c r="E49" s="103" t="s">
        <v>2</v>
      </c>
      <c r="F49" s="36" t="s">
        <v>265</v>
      </c>
      <c r="G49" s="110">
        <v>8467</v>
      </c>
      <c r="H49" s="110">
        <v>418</v>
      </c>
      <c r="I49" s="107">
        <f t="shared" si="54"/>
        <v>8885</v>
      </c>
      <c r="J49" s="98">
        <f t="shared" si="55"/>
        <v>0.86949332703436877</v>
      </c>
      <c r="K49" s="99">
        <v>7362</v>
      </c>
      <c r="L49" s="94">
        <f t="shared" si="56"/>
        <v>0.13050667296563129</v>
      </c>
      <c r="M49" s="89">
        <f t="shared" si="57"/>
        <v>1105</v>
      </c>
      <c r="N49" s="91">
        <f t="shared" si="58"/>
        <v>24.1995</v>
      </c>
      <c r="O49" s="182">
        <f t="shared" si="59"/>
        <v>44.365749999999998</v>
      </c>
      <c r="P49" s="130">
        <f t="shared" si="60"/>
        <v>28.232749999999999</v>
      </c>
      <c r="Q49" s="130">
        <f t="shared" si="61"/>
        <v>4.0332499999999998</v>
      </c>
      <c r="R49" s="64">
        <f t="shared" si="62"/>
        <v>0.80664999999999998</v>
      </c>
      <c r="S49" s="130">
        <f t="shared" si="63"/>
        <v>1.7302642500000001</v>
      </c>
      <c r="T49" s="130">
        <f t="shared" si="64"/>
        <v>2.3957505000000001</v>
      </c>
      <c r="U49" s="130">
        <f t="shared" si="65"/>
        <v>2.2626532500000001</v>
      </c>
      <c r="V49" s="130">
        <f t="shared" si="66"/>
        <v>0.33274312499999997</v>
      </c>
      <c r="W49" s="130">
        <f t="shared" si="67"/>
        <v>6.6548625E-2</v>
      </c>
      <c r="X49" s="130">
        <f t="shared" si="68"/>
        <v>2.5288477500000002</v>
      </c>
      <c r="Y49" s="130">
        <f t="shared" si="69"/>
        <v>3.4605285000000001</v>
      </c>
      <c r="Z49" s="130">
        <f t="shared" si="70"/>
        <v>2.3957505000000001</v>
      </c>
      <c r="AA49" s="130">
        <f t="shared" si="71"/>
        <v>0</v>
      </c>
      <c r="AB49" s="130">
        <f t="shared" si="72"/>
        <v>0</v>
      </c>
      <c r="AC49" s="181">
        <f t="shared" si="73"/>
        <v>19.940387999999999</v>
      </c>
      <c r="AD49" s="181">
        <f t="shared" si="74"/>
        <v>38.509470999999998</v>
      </c>
      <c r="AE49" s="181">
        <f t="shared" si="75"/>
        <v>23.574346249999998</v>
      </c>
      <c r="AF49" s="181">
        <f t="shared" si="76"/>
        <v>3.7005068749999999</v>
      </c>
      <c r="AG49" s="181">
        <f t="shared" si="77"/>
        <v>0.74010137499999995</v>
      </c>
      <c r="AH49" s="85">
        <f t="shared" si="78"/>
        <v>170.38200000000001</v>
      </c>
      <c r="AI49" s="135">
        <f t="shared" si="79"/>
        <v>312.36700000000002</v>
      </c>
      <c r="AJ49" s="135">
        <f t="shared" si="80"/>
        <v>198.779</v>
      </c>
      <c r="AK49" s="135">
        <f t="shared" si="81"/>
        <v>28.396999999999998</v>
      </c>
      <c r="AL49" s="65">
        <f t="shared" si="82"/>
        <v>5.6794000000000002</v>
      </c>
      <c r="AM49" s="66">
        <v>0.9</v>
      </c>
      <c r="AN49" s="66">
        <v>0.75</v>
      </c>
      <c r="AO49" s="66">
        <v>0.9</v>
      </c>
      <c r="AP49" s="66">
        <v>0.1</v>
      </c>
      <c r="AQ49" s="66">
        <v>0.1</v>
      </c>
      <c r="AR49" s="65">
        <f t="shared" si="83"/>
        <v>154.901037825</v>
      </c>
      <c r="AS49" s="65">
        <f t="shared" si="84"/>
        <v>236.07206287500003</v>
      </c>
      <c r="AT49" s="65">
        <f t="shared" si="85"/>
        <v>180.937487925</v>
      </c>
      <c r="AU49" s="65">
        <f t="shared" si="86"/>
        <v>2.8729743125000002</v>
      </c>
      <c r="AV49" s="65">
        <f t="shared" si="87"/>
        <v>0.57459486250000003</v>
      </c>
      <c r="AW49" s="65">
        <f t="shared" si="88"/>
        <v>17.211226425000007</v>
      </c>
      <c r="AX49" s="65">
        <f t="shared" si="89"/>
        <v>78.69068762500001</v>
      </c>
      <c r="AY49" s="65">
        <f t="shared" si="90"/>
        <v>20.104165324999997</v>
      </c>
      <c r="AZ49" s="65">
        <f t="shared" si="91"/>
        <v>25.8567688125</v>
      </c>
      <c r="BA49" s="86">
        <f t="shared" si="92"/>
        <v>5.1713537625000008</v>
      </c>
      <c r="BB49" s="83">
        <f t="shared" si="93"/>
        <v>194.58150000000001</v>
      </c>
      <c r="BC49" s="67">
        <f t="shared" si="94"/>
        <v>356.73275000000001</v>
      </c>
      <c r="BD49" s="67">
        <f t="shared" si="95"/>
        <v>227.01175000000001</v>
      </c>
      <c r="BE49" s="68">
        <f t="shared" si="96"/>
        <v>32.430250000000001</v>
      </c>
      <c r="BF49" s="68">
        <f t="shared" si="97"/>
        <v>6.4860500000000005</v>
      </c>
      <c r="BG49" s="67">
        <f t="shared" si="98"/>
        <v>37.151614425000005</v>
      </c>
      <c r="BH49" s="67">
        <f t="shared" si="99"/>
        <v>117.200158625</v>
      </c>
      <c r="BI49" s="67">
        <f t="shared" si="100"/>
        <v>43.678511574999995</v>
      </c>
      <c r="BJ49" s="68">
        <f t="shared" si="101"/>
        <v>29.557275687499999</v>
      </c>
      <c r="BK49" s="68">
        <f t="shared" si="102"/>
        <v>5.9114551375000008</v>
      </c>
      <c r="BL49" s="67">
        <f t="shared" si="103"/>
        <v>157.42988557500001</v>
      </c>
      <c r="BM49" s="67">
        <f t="shared" si="104"/>
        <v>239.53259137500004</v>
      </c>
      <c r="BN49" s="67">
        <f t="shared" si="105"/>
        <v>183.33323842499999</v>
      </c>
      <c r="BO49" s="68">
        <f t="shared" si="106"/>
        <v>2.8729743125000002</v>
      </c>
      <c r="BP49" s="76">
        <f t="shared" si="107"/>
        <v>0.57459486250000003</v>
      </c>
      <c r="BQ49" s="33">
        <v>488005</v>
      </c>
      <c r="BR49" s="8">
        <v>22000</v>
      </c>
      <c r="BS49" t="s">
        <v>129</v>
      </c>
    </row>
    <row r="50" spans="1:71" x14ac:dyDescent="0.25">
      <c r="A50" s="52"/>
      <c r="B50" s="52">
        <v>37</v>
      </c>
      <c r="C50" s="53" t="s">
        <v>79</v>
      </c>
      <c r="D50" s="118">
        <v>5390</v>
      </c>
      <c r="E50" s="103" t="s">
        <v>12</v>
      </c>
      <c r="F50" s="36" t="s">
        <v>265</v>
      </c>
      <c r="G50" s="110">
        <v>6294</v>
      </c>
      <c r="H50" s="111">
        <v>990</v>
      </c>
      <c r="I50" s="107">
        <f t="shared" si="54"/>
        <v>7284</v>
      </c>
      <c r="J50" s="98">
        <f t="shared" si="55"/>
        <v>0.92357801080394031</v>
      </c>
      <c r="K50" s="99">
        <v>5813</v>
      </c>
      <c r="L50" s="94">
        <f t="shared" si="56"/>
        <v>7.6421989196059734E-2</v>
      </c>
      <c r="M50" s="89">
        <f t="shared" si="57"/>
        <v>481</v>
      </c>
      <c r="N50" s="91">
        <f t="shared" si="58"/>
        <v>10.533899999999999</v>
      </c>
      <c r="O50" s="182">
        <f t="shared" si="59"/>
        <v>19.312149999999999</v>
      </c>
      <c r="P50" s="130">
        <f t="shared" si="60"/>
        <v>12.28955</v>
      </c>
      <c r="Q50" s="130">
        <f t="shared" si="61"/>
        <v>1.7556499999999999</v>
      </c>
      <c r="R50" s="64">
        <f t="shared" si="62"/>
        <v>0.35113</v>
      </c>
      <c r="S50" s="130">
        <f t="shared" si="63"/>
        <v>0.75317385000000003</v>
      </c>
      <c r="T50" s="130">
        <f t="shared" si="64"/>
        <v>1.0428561000000001</v>
      </c>
      <c r="U50" s="130">
        <f t="shared" si="65"/>
        <v>0.98491965000000015</v>
      </c>
      <c r="V50" s="130">
        <f t="shared" si="66"/>
        <v>0.14484112500000001</v>
      </c>
      <c r="W50" s="130">
        <f t="shared" si="67"/>
        <v>2.8968225E-2</v>
      </c>
      <c r="X50" s="130">
        <f t="shared" si="68"/>
        <v>1.10079255</v>
      </c>
      <c r="Y50" s="130">
        <f t="shared" si="69"/>
        <v>1.5063477000000001</v>
      </c>
      <c r="Z50" s="130">
        <f t="shared" si="70"/>
        <v>1.0428561000000001</v>
      </c>
      <c r="AA50" s="130">
        <f t="shared" si="71"/>
        <v>0</v>
      </c>
      <c r="AB50" s="130">
        <f t="shared" si="72"/>
        <v>0</v>
      </c>
      <c r="AC50" s="181">
        <f t="shared" si="73"/>
        <v>8.6799336</v>
      </c>
      <c r="AD50" s="181">
        <f t="shared" si="74"/>
        <v>16.762946199999998</v>
      </c>
      <c r="AE50" s="181">
        <f t="shared" si="75"/>
        <v>10.26177425</v>
      </c>
      <c r="AF50" s="181">
        <f t="shared" si="76"/>
        <v>1.610808875</v>
      </c>
      <c r="AG50" s="181">
        <f t="shared" si="77"/>
        <v>0.32216177499999998</v>
      </c>
      <c r="AH50" s="85">
        <f t="shared" si="78"/>
        <v>148.98570000000001</v>
      </c>
      <c r="AI50" s="135">
        <f t="shared" si="79"/>
        <v>273.14044999999999</v>
      </c>
      <c r="AJ50" s="135">
        <f t="shared" si="80"/>
        <v>173.81665000000001</v>
      </c>
      <c r="AK50" s="135">
        <f t="shared" si="81"/>
        <v>24.830950000000001</v>
      </c>
      <c r="AL50" s="65">
        <f t="shared" si="82"/>
        <v>4.9661900000000001</v>
      </c>
      <c r="AM50" s="66">
        <v>0.9</v>
      </c>
      <c r="AN50" s="66">
        <v>0.75</v>
      </c>
      <c r="AO50" s="66">
        <v>0.9</v>
      </c>
      <c r="AP50" s="66">
        <v>0.1</v>
      </c>
      <c r="AQ50" s="66">
        <v>0.1</v>
      </c>
      <c r="AR50" s="65">
        <f t="shared" si="83"/>
        <v>134.76498646500002</v>
      </c>
      <c r="AS50" s="65">
        <f t="shared" si="84"/>
        <v>205.63747957499999</v>
      </c>
      <c r="AT50" s="65">
        <f t="shared" si="85"/>
        <v>157.32141268500001</v>
      </c>
      <c r="AU50" s="65">
        <f t="shared" si="86"/>
        <v>2.4975791125000004</v>
      </c>
      <c r="AV50" s="65">
        <f t="shared" si="87"/>
        <v>0.49951582250000004</v>
      </c>
      <c r="AW50" s="65">
        <f t="shared" si="88"/>
        <v>14.973887384999983</v>
      </c>
      <c r="AX50" s="65">
        <f t="shared" si="89"/>
        <v>68.545826524999995</v>
      </c>
      <c r="AY50" s="65">
        <f t="shared" si="90"/>
        <v>17.480156964999992</v>
      </c>
      <c r="AZ50" s="65">
        <f t="shared" si="91"/>
        <v>22.478212012500002</v>
      </c>
      <c r="BA50" s="86">
        <f t="shared" si="92"/>
        <v>4.4956424024999997</v>
      </c>
      <c r="BB50" s="83">
        <f t="shared" si="93"/>
        <v>159.5196</v>
      </c>
      <c r="BC50" s="67">
        <f t="shared" si="94"/>
        <v>292.45259999999996</v>
      </c>
      <c r="BD50" s="67">
        <f t="shared" si="95"/>
        <v>186.1062</v>
      </c>
      <c r="BE50" s="68">
        <f t="shared" si="96"/>
        <v>26.586600000000001</v>
      </c>
      <c r="BF50" s="68">
        <f t="shared" si="97"/>
        <v>5.3173200000000005</v>
      </c>
      <c r="BG50" s="67">
        <f t="shared" si="98"/>
        <v>23.653820984999982</v>
      </c>
      <c r="BH50" s="67">
        <f t="shared" si="99"/>
        <v>85.308772724999997</v>
      </c>
      <c r="BI50" s="67">
        <f t="shared" si="100"/>
        <v>27.741931214999994</v>
      </c>
      <c r="BJ50" s="68">
        <f t="shared" si="101"/>
        <v>24.089020887500002</v>
      </c>
      <c r="BK50" s="68">
        <f t="shared" si="102"/>
        <v>4.8178041774999993</v>
      </c>
      <c r="BL50" s="67">
        <f t="shared" si="103"/>
        <v>135.86577901500002</v>
      </c>
      <c r="BM50" s="67">
        <f t="shared" si="104"/>
        <v>207.14382727499998</v>
      </c>
      <c r="BN50" s="67">
        <f t="shared" si="105"/>
        <v>158.36426878500001</v>
      </c>
      <c r="BO50" s="68">
        <f t="shared" si="106"/>
        <v>2.4975791125000004</v>
      </c>
      <c r="BP50" s="76">
        <f t="shared" si="107"/>
        <v>0.49951582250000004</v>
      </c>
      <c r="BQ50" s="33">
        <f>95840+16560+48800+58640+91600+94000+91200+31800</f>
        <v>528440</v>
      </c>
      <c r="BR50" s="8">
        <f>28000+223200+22000+112000+22000</f>
        <v>407200</v>
      </c>
      <c r="BS50" t="s">
        <v>129</v>
      </c>
    </row>
    <row r="51" spans="1:71" x14ac:dyDescent="0.25">
      <c r="A51" s="52"/>
      <c r="B51" s="52">
        <v>38</v>
      </c>
      <c r="C51" s="53" t="s">
        <v>80</v>
      </c>
      <c r="D51" s="118">
        <v>5335</v>
      </c>
      <c r="E51" s="103" t="s">
        <v>146</v>
      </c>
      <c r="F51" s="36" t="s">
        <v>265</v>
      </c>
      <c r="G51" s="110">
        <v>6094</v>
      </c>
      <c r="H51" s="111">
        <v>132</v>
      </c>
      <c r="I51" s="107">
        <f t="shared" si="54"/>
        <v>6226</v>
      </c>
      <c r="J51" s="98">
        <f t="shared" si="55"/>
        <v>0.79570068920249426</v>
      </c>
      <c r="K51" s="99">
        <v>4849</v>
      </c>
      <c r="L51" s="94">
        <f t="shared" si="56"/>
        <v>0.20429931079750574</v>
      </c>
      <c r="M51" s="89">
        <f t="shared" si="57"/>
        <v>1245</v>
      </c>
      <c r="N51" s="91">
        <f t="shared" si="58"/>
        <v>27.265499999999999</v>
      </c>
      <c r="O51" s="182">
        <f t="shared" si="59"/>
        <v>49.986750000000001</v>
      </c>
      <c r="P51" s="130">
        <f t="shared" si="60"/>
        <v>31.809750000000001</v>
      </c>
      <c r="Q51" s="130">
        <f t="shared" si="61"/>
        <v>4.5442499999999999</v>
      </c>
      <c r="R51" s="64">
        <f t="shared" si="62"/>
        <v>0.90885000000000005</v>
      </c>
      <c r="S51" s="130">
        <f t="shared" si="63"/>
        <v>1.9494832499999999</v>
      </c>
      <c r="T51" s="130">
        <f t="shared" si="64"/>
        <v>2.6992845000000001</v>
      </c>
      <c r="U51" s="130">
        <f t="shared" si="65"/>
        <v>2.5493242500000002</v>
      </c>
      <c r="V51" s="130">
        <f t="shared" si="66"/>
        <v>0.37490062499999999</v>
      </c>
      <c r="W51" s="130">
        <f t="shared" si="67"/>
        <v>7.4980125000000009E-2</v>
      </c>
      <c r="X51" s="130">
        <f t="shared" si="68"/>
        <v>2.84924475</v>
      </c>
      <c r="Y51" s="130">
        <f t="shared" si="69"/>
        <v>3.8989664999999998</v>
      </c>
      <c r="Z51" s="130">
        <f t="shared" si="70"/>
        <v>2.6992845000000001</v>
      </c>
      <c r="AA51" s="130">
        <f t="shared" si="71"/>
        <v>0</v>
      </c>
      <c r="AB51" s="130">
        <f t="shared" si="72"/>
        <v>0</v>
      </c>
      <c r="AC51" s="181">
        <f t="shared" si="73"/>
        <v>22.466771999999999</v>
      </c>
      <c r="AD51" s="181">
        <f t="shared" si="74"/>
        <v>43.388499000000003</v>
      </c>
      <c r="AE51" s="181">
        <f t="shared" si="75"/>
        <v>26.561141249999999</v>
      </c>
      <c r="AF51" s="181">
        <f t="shared" si="76"/>
        <v>4.1693493749999995</v>
      </c>
      <c r="AG51" s="181">
        <f t="shared" si="77"/>
        <v>0.83386987499999998</v>
      </c>
      <c r="AH51" s="85">
        <f t="shared" si="78"/>
        <v>109.0839</v>
      </c>
      <c r="AI51" s="135">
        <f t="shared" si="79"/>
        <v>199.98715000000001</v>
      </c>
      <c r="AJ51" s="135">
        <f t="shared" si="80"/>
        <v>127.26455</v>
      </c>
      <c r="AK51" s="135">
        <f t="shared" si="81"/>
        <v>18.18065</v>
      </c>
      <c r="AL51" s="65">
        <f t="shared" si="82"/>
        <v>3.6361300000000001</v>
      </c>
      <c r="AM51" s="66">
        <v>0.9</v>
      </c>
      <c r="AN51" s="66">
        <v>0.75</v>
      </c>
      <c r="AO51" s="66">
        <v>0.9</v>
      </c>
      <c r="AP51" s="66">
        <v>0.1</v>
      </c>
      <c r="AQ51" s="66">
        <v>0.1</v>
      </c>
      <c r="AR51" s="65">
        <f t="shared" si="83"/>
        <v>99.930044925000004</v>
      </c>
      <c r="AS51" s="65">
        <f t="shared" si="84"/>
        <v>152.01482587500001</v>
      </c>
      <c r="AT51" s="65">
        <f t="shared" si="85"/>
        <v>116.832486825</v>
      </c>
      <c r="AU51" s="65">
        <f t="shared" si="86"/>
        <v>1.8555550624999999</v>
      </c>
      <c r="AV51" s="65">
        <f t="shared" si="87"/>
        <v>0.37111101250000006</v>
      </c>
      <c r="AW51" s="65">
        <f t="shared" si="88"/>
        <v>11.103338324999996</v>
      </c>
      <c r="AX51" s="65">
        <f t="shared" si="89"/>
        <v>50.671608625000005</v>
      </c>
      <c r="AY51" s="65">
        <f t="shared" si="90"/>
        <v>12.981387424999994</v>
      </c>
      <c r="AZ51" s="65">
        <f t="shared" si="91"/>
        <v>16.6999955625</v>
      </c>
      <c r="BA51" s="86">
        <f t="shared" si="92"/>
        <v>3.3399991125000001</v>
      </c>
      <c r="BB51" s="83">
        <f t="shared" si="93"/>
        <v>136.3494</v>
      </c>
      <c r="BC51" s="67">
        <f t="shared" si="94"/>
        <v>249.97390000000001</v>
      </c>
      <c r="BD51" s="67">
        <f t="shared" si="95"/>
        <v>159.07429999999999</v>
      </c>
      <c r="BE51" s="68">
        <f t="shared" si="96"/>
        <v>22.724899999999998</v>
      </c>
      <c r="BF51" s="68">
        <f t="shared" si="97"/>
        <v>4.5449799999999998</v>
      </c>
      <c r="BG51" s="67">
        <f t="shared" si="98"/>
        <v>33.570110324999995</v>
      </c>
      <c r="BH51" s="67">
        <f t="shared" si="99"/>
        <v>94.060107625000001</v>
      </c>
      <c r="BI51" s="67">
        <f t="shared" si="100"/>
        <v>39.542528674999993</v>
      </c>
      <c r="BJ51" s="68">
        <f t="shared" si="101"/>
        <v>20.869344937499999</v>
      </c>
      <c r="BK51" s="68">
        <f t="shared" si="102"/>
        <v>4.1738689875000006</v>
      </c>
      <c r="BL51" s="67">
        <f t="shared" si="103"/>
        <v>102.779289675</v>
      </c>
      <c r="BM51" s="67">
        <f t="shared" si="104"/>
        <v>155.91379237500001</v>
      </c>
      <c r="BN51" s="67">
        <f t="shared" si="105"/>
        <v>119.53177132500001</v>
      </c>
      <c r="BO51" s="68">
        <f t="shared" si="106"/>
        <v>1.8555550624999999</v>
      </c>
      <c r="BP51" s="76">
        <f t="shared" si="107"/>
        <v>0.37111101250000006</v>
      </c>
      <c r="BQ51" s="33">
        <f>180600+231000+233400+207000</f>
        <v>852000</v>
      </c>
      <c r="BR51" s="8">
        <f>435200+36000</f>
        <v>471200</v>
      </c>
      <c r="BS51" t="s">
        <v>133</v>
      </c>
    </row>
    <row r="52" spans="1:71" x14ac:dyDescent="0.25">
      <c r="A52" s="52"/>
      <c r="B52" s="52">
        <v>41</v>
      </c>
      <c r="C52" s="53" t="s">
        <v>83</v>
      </c>
      <c r="D52" s="118">
        <v>3942</v>
      </c>
      <c r="E52" s="103" t="s">
        <v>2</v>
      </c>
      <c r="F52" s="36" t="s">
        <v>265</v>
      </c>
      <c r="G52" s="110">
        <v>3652</v>
      </c>
      <c r="H52" s="110">
        <v>37</v>
      </c>
      <c r="I52" s="107">
        <f t="shared" si="54"/>
        <v>3689</v>
      </c>
      <c r="J52" s="98">
        <f t="shared" si="55"/>
        <v>1</v>
      </c>
      <c r="K52" s="99">
        <v>3652</v>
      </c>
      <c r="L52" s="94">
        <f t="shared" si="56"/>
        <v>0</v>
      </c>
      <c r="M52" s="89">
        <f t="shared" si="57"/>
        <v>0</v>
      </c>
      <c r="N52" s="91">
        <f t="shared" si="58"/>
        <v>0</v>
      </c>
      <c r="O52" s="182">
        <f t="shared" si="59"/>
        <v>0</v>
      </c>
      <c r="P52" s="130">
        <f t="shared" si="60"/>
        <v>0</v>
      </c>
      <c r="Q52" s="130">
        <f t="shared" si="61"/>
        <v>0</v>
      </c>
      <c r="R52" s="64">
        <f t="shared" si="62"/>
        <v>0</v>
      </c>
      <c r="S52" s="130">
        <f t="shared" si="63"/>
        <v>0</v>
      </c>
      <c r="T52" s="130">
        <f t="shared" si="64"/>
        <v>0</v>
      </c>
      <c r="U52" s="130">
        <f t="shared" si="65"/>
        <v>0</v>
      </c>
      <c r="V52" s="130">
        <f t="shared" si="66"/>
        <v>0</v>
      </c>
      <c r="W52" s="130">
        <f t="shared" si="67"/>
        <v>0</v>
      </c>
      <c r="X52" s="130">
        <f t="shared" si="68"/>
        <v>0</v>
      </c>
      <c r="Y52" s="130">
        <f t="shared" si="69"/>
        <v>0</v>
      </c>
      <c r="Z52" s="130">
        <f t="shared" si="70"/>
        <v>0</v>
      </c>
      <c r="AA52" s="130">
        <f t="shared" si="71"/>
        <v>0</v>
      </c>
      <c r="AB52" s="130">
        <f t="shared" si="72"/>
        <v>0</v>
      </c>
      <c r="AC52" s="181">
        <f t="shared" si="73"/>
        <v>0</v>
      </c>
      <c r="AD52" s="181">
        <f t="shared" si="74"/>
        <v>0</v>
      </c>
      <c r="AE52" s="181">
        <f t="shared" si="75"/>
        <v>0</v>
      </c>
      <c r="AF52" s="181">
        <f t="shared" si="76"/>
        <v>0</v>
      </c>
      <c r="AG52" s="181">
        <f t="shared" si="77"/>
        <v>0</v>
      </c>
      <c r="AH52" s="85">
        <f t="shared" si="78"/>
        <v>80.789100000000005</v>
      </c>
      <c r="AI52" s="135">
        <f t="shared" si="79"/>
        <v>148.11335</v>
      </c>
      <c r="AJ52" s="135">
        <f t="shared" si="80"/>
        <v>94.253950000000003</v>
      </c>
      <c r="AK52" s="135">
        <f t="shared" si="81"/>
        <v>13.46485</v>
      </c>
      <c r="AL52" s="65">
        <f t="shared" si="82"/>
        <v>2.6929699999999999</v>
      </c>
      <c r="AM52" s="66">
        <v>0.9</v>
      </c>
      <c r="AN52" s="66">
        <v>0.75</v>
      </c>
      <c r="AO52" s="66">
        <v>0.9</v>
      </c>
      <c r="AP52" s="66">
        <v>0.1</v>
      </c>
      <c r="AQ52" s="66">
        <v>0.1</v>
      </c>
      <c r="AR52" s="65">
        <f t="shared" si="83"/>
        <v>72.710190000000011</v>
      </c>
      <c r="AS52" s="65">
        <f t="shared" si="84"/>
        <v>111.0850125</v>
      </c>
      <c r="AT52" s="65">
        <f t="shared" si="85"/>
        <v>84.828555000000009</v>
      </c>
      <c r="AU52" s="65">
        <f t="shared" si="86"/>
        <v>1.3464850000000002</v>
      </c>
      <c r="AV52" s="65">
        <f t="shared" si="87"/>
        <v>0.26929700000000001</v>
      </c>
      <c r="AW52" s="65">
        <f t="shared" si="88"/>
        <v>8.0789099999999934</v>
      </c>
      <c r="AX52" s="65">
        <f t="shared" si="89"/>
        <v>37.028337499999992</v>
      </c>
      <c r="AY52" s="65">
        <f t="shared" si="90"/>
        <v>9.4253949999999946</v>
      </c>
      <c r="AZ52" s="65">
        <f t="shared" si="91"/>
        <v>12.118365000000001</v>
      </c>
      <c r="BA52" s="86">
        <f t="shared" si="92"/>
        <v>2.423673</v>
      </c>
      <c r="BB52" s="83">
        <f t="shared" si="93"/>
        <v>80.789100000000005</v>
      </c>
      <c r="BC52" s="67">
        <f t="shared" si="94"/>
        <v>148.11335</v>
      </c>
      <c r="BD52" s="67">
        <f t="shared" si="95"/>
        <v>94.253950000000003</v>
      </c>
      <c r="BE52" s="68">
        <f t="shared" si="96"/>
        <v>13.46485</v>
      </c>
      <c r="BF52" s="68">
        <f t="shared" si="97"/>
        <v>2.6929699999999999</v>
      </c>
      <c r="BG52" s="67">
        <f t="shared" si="98"/>
        <v>8.0789099999999934</v>
      </c>
      <c r="BH52" s="67">
        <f t="shared" si="99"/>
        <v>37.028337499999992</v>
      </c>
      <c r="BI52" s="67">
        <f t="shared" si="100"/>
        <v>9.4253949999999946</v>
      </c>
      <c r="BJ52" s="68">
        <f t="shared" si="101"/>
        <v>12.118365000000001</v>
      </c>
      <c r="BK52" s="68">
        <f t="shared" si="102"/>
        <v>2.423673</v>
      </c>
      <c r="BL52" s="67">
        <f t="shared" si="103"/>
        <v>72.710190000000011</v>
      </c>
      <c r="BM52" s="67">
        <f t="shared" si="104"/>
        <v>111.0850125</v>
      </c>
      <c r="BN52" s="67">
        <f t="shared" si="105"/>
        <v>84.828555000000009</v>
      </c>
      <c r="BO52" s="68">
        <f t="shared" si="106"/>
        <v>1.3464850000000002</v>
      </c>
      <c r="BP52" s="76">
        <f t="shared" si="107"/>
        <v>0.26929700000000001</v>
      </c>
      <c r="BQ52" s="33">
        <v>0</v>
      </c>
      <c r="BR52" s="8">
        <v>70000</v>
      </c>
      <c r="BS52" t="s">
        <v>129</v>
      </c>
    </row>
    <row r="53" spans="1:71" x14ac:dyDescent="0.25">
      <c r="A53" s="52"/>
      <c r="B53" s="52">
        <v>46</v>
      </c>
      <c r="C53" s="53" t="s">
        <v>91</v>
      </c>
      <c r="D53" s="118">
        <v>3534</v>
      </c>
      <c r="E53" s="103" t="s">
        <v>149</v>
      </c>
      <c r="F53" s="36" t="s">
        <v>265</v>
      </c>
      <c r="G53" s="110">
        <v>4060</v>
      </c>
      <c r="H53" s="111">
        <v>307</v>
      </c>
      <c r="I53" s="107">
        <f t="shared" si="54"/>
        <v>4367</v>
      </c>
      <c r="J53" s="98">
        <f t="shared" si="55"/>
        <v>1</v>
      </c>
      <c r="K53" s="99">
        <v>4060</v>
      </c>
      <c r="L53" s="94">
        <f t="shared" si="56"/>
        <v>0</v>
      </c>
      <c r="M53" s="89">
        <f t="shared" si="57"/>
        <v>0</v>
      </c>
      <c r="N53" s="91">
        <f t="shared" si="58"/>
        <v>0</v>
      </c>
      <c r="O53" s="182">
        <f t="shared" si="59"/>
        <v>0</v>
      </c>
      <c r="P53" s="130">
        <f t="shared" si="60"/>
        <v>0</v>
      </c>
      <c r="Q53" s="130">
        <f t="shared" si="61"/>
        <v>0</v>
      </c>
      <c r="R53" s="64">
        <f t="shared" si="62"/>
        <v>0</v>
      </c>
      <c r="S53" s="130">
        <f t="shared" si="63"/>
        <v>0</v>
      </c>
      <c r="T53" s="130">
        <f t="shared" si="64"/>
        <v>0</v>
      </c>
      <c r="U53" s="130">
        <f t="shared" si="65"/>
        <v>0</v>
      </c>
      <c r="V53" s="130">
        <f t="shared" si="66"/>
        <v>0</v>
      </c>
      <c r="W53" s="130">
        <f t="shared" si="67"/>
        <v>0</v>
      </c>
      <c r="X53" s="130">
        <f t="shared" si="68"/>
        <v>0</v>
      </c>
      <c r="Y53" s="130">
        <f t="shared" si="69"/>
        <v>0</v>
      </c>
      <c r="Z53" s="130">
        <f t="shared" si="70"/>
        <v>0</v>
      </c>
      <c r="AA53" s="130">
        <f t="shared" si="71"/>
        <v>0</v>
      </c>
      <c r="AB53" s="130">
        <f t="shared" si="72"/>
        <v>0</v>
      </c>
      <c r="AC53" s="181">
        <f t="shared" si="73"/>
        <v>0</v>
      </c>
      <c r="AD53" s="181">
        <f t="shared" si="74"/>
        <v>0</v>
      </c>
      <c r="AE53" s="181">
        <f t="shared" si="75"/>
        <v>0</v>
      </c>
      <c r="AF53" s="181">
        <f t="shared" si="76"/>
        <v>0</v>
      </c>
      <c r="AG53" s="181">
        <f t="shared" si="77"/>
        <v>0</v>
      </c>
      <c r="AH53" s="85">
        <f t="shared" si="78"/>
        <v>95.637299999999996</v>
      </c>
      <c r="AI53" s="135">
        <f t="shared" si="79"/>
        <v>175.33505</v>
      </c>
      <c r="AJ53" s="135">
        <f t="shared" si="80"/>
        <v>111.57684999999999</v>
      </c>
      <c r="AK53" s="135">
        <f t="shared" si="81"/>
        <v>15.939550000000001</v>
      </c>
      <c r="AL53" s="65">
        <f t="shared" si="82"/>
        <v>3.18791</v>
      </c>
      <c r="AM53" s="66">
        <v>0.9</v>
      </c>
      <c r="AN53" s="66">
        <v>0.75</v>
      </c>
      <c r="AO53" s="66">
        <v>0.9</v>
      </c>
      <c r="AP53" s="66">
        <v>0.1</v>
      </c>
      <c r="AQ53" s="66">
        <v>0.1</v>
      </c>
      <c r="AR53" s="65">
        <f t="shared" si="83"/>
        <v>86.073570000000004</v>
      </c>
      <c r="AS53" s="65">
        <f t="shared" si="84"/>
        <v>131.50128749999999</v>
      </c>
      <c r="AT53" s="65">
        <f t="shared" si="85"/>
        <v>100.41916499999999</v>
      </c>
      <c r="AU53" s="65">
        <f t="shared" si="86"/>
        <v>1.5939550000000002</v>
      </c>
      <c r="AV53" s="65">
        <f t="shared" si="87"/>
        <v>0.31879100000000005</v>
      </c>
      <c r="AW53" s="65">
        <f t="shared" si="88"/>
        <v>9.5637299999999925</v>
      </c>
      <c r="AX53" s="65">
        <f t="shared" si="89"/>
        <v>43.833762500000006</v>
      </c>
      <c r="AY53" s="65">
        <f t="shared" si="90"/>
        <v>11.157685000000001</v>
      </c>
      <c r="AZ53" s="65">
        <f t="shared" si="91"/>
        <v>14.345594999999999</v>
      </c>
      <c r="BA53" s="86">
        <f t="shared" si="92"/>
        <v>2.869119</v>
      </c>
      <c r="BB53" s="83">
        <f t="shared" si="93"/>
        <v>95.637299999999996</v>
      </c>
      <c r="BC53" s="67">
        <f t="shared" si="94"/>
        <v>175.33505</v>
      </c>
      <c r="BD53" s="67">
        <f t="shared" si="95"/>
        <v>111.57684999999999</v>
      </c>
      <c r="BE53" s="68">
        <f t="shared" si="96"/>
        <v>15.939550000000001</v>
      </c>
      <c r="BF53" s="68">
        <f t="shared" si="97"/>
        <v>3.18791</v>
      </c>
      <c r="BG53" s="67">
        <f t="shared" si="98"/>
        <v>9.5637299999999925</v>
      </c>
      <c r="BH53" s="67">
        <f t="shared" si="99"/>
        <v>43.833762500000006</v>
      </c>
      <c r="BI53" s="67">
        <f t="shared" si="100"/>
        <v>11.157685000000001</v>
      </c>
      <c r="BJ53" s="68">
        <f t="shared" si="101"/>
        <v>14.345594999999999</v>
      </c>
      <c r="BK53" s="68">
        <f t="shared" si="102"/>
        <v>2.869119</v>
      </c>
      <c r="BL53" s="67">
        <f t="shared" si="103"/>
        <v>86.073570000000004</v>
      </c>
      <c r="BM53" s="67">
        <f t="shared" si="104"/>
        <v>131.50128749999999</v>
      </c>
      <c r="BN53" s="67">
        <f t="shared" si="105"/>
        <v>100.41916499999999</v>
      </c>
      <c r="BO53" s="68">
        <f t="shared" si="106"/>
        <v>1.5939550000000002</v>
      </c>
      <c r="BP53" s="76">
        <f t="shared" si="107"/>
        <v>0.31879100000000005</v>
      </c>
      <c r="BQ53" s="33">
        <v>0</v>
      </c>
      <c r="BR53" s="8">
        <v>0</v>
      </c>
      <c r="BS53" t="s">
        <v>3</v>
      </c>
    </row>
    <row r="54" spans="1:71" x14ac:dyDescent="0.25">
      <c r="A54" s="52"/>
      <c r="B54" s="52">
        <v>51</v>
      </c>
      <c r="C54" s="53" t="s">
        <v>93</v>
      </c>
      <c r="D54" s="118">
        <v>3088</v>
      </c>
      <c r="E54" s="103" t="s">
        <v>151</v>
      </c>
      <c r="F54" s="36" t="s">
        <v>265</v>
      </c>
      <c r="G54" s="110">
        <v>3373</v>
      </c>
      <c r="H54" s="111">
        <v>38</v>
      </c>
      <c r="I54" s="107">
        <f t="shared" si="54"/>
        <v>3411</v>
      </c>
      <c r="J54" s="98">
        <f t="shared" si="55"/>
        <v>0.52683071449747998</v>
      </c>
      <c r="K54" s="99">
        <v>1777</v>
      </c>
      <c r="L54" s="94">
        <f t="shared" si="56"/>
        <v>0.47316928550252002</v>
      </c>
      <c r="M54" s="89">
        <f t="shared" si="57"/>
        <v>1596</v>
      </c>
      <c r="N54" s="91">
        <f t="shared" si="58"/>
        <v>34.952399999999997</v>
      </c>
      <c r="O54" s="182">
        <f t="shared" si="59"/>
        <v>64.079400000000007</v>
      </c>
      <c r="P54" s="130">
        <f t="shared" si="60"/>
        <v>40.777799999999999</v>
      </c>
      <c r="Q54" s="130">
        <f t="shared" si="61"/>
        <v>5.8254000000000001</v>
      </c>
      <c r="R54" s="64">
        <f t="shared" si="62"/>
        <v>1.1650799999999999</v>
      </c>
      <c r="S54" s="130">
        <f t="shared" si="63"/>
        <v>2.4990966000000001</v>
      </c>
      <c r="T54" s="130">
        <f t="shared" si="64"/>
        <v>3.4602876000000005</v>
      </c>
      <c r="U54" s="130">
        <f t="shared" si="65"/>
        <v>3.2680494000000002</v>
      </c>
      <c r="V54" s="130">
        <f t="shared" si="66"/>
        <v>0.48059550000000001</v>
      </c>
      <c r="W54" s="130">
        <f t="shared" si="67"/>
        <v>9.6119099999999999E-2</v>
      </c>
      <c r="X54" s="130">
        <f t="shared" si="68"/>
        <v>3.6525258000000003</v>
      </c>
      <c r="Y54" s="130">
        <f t="shared" si="69"/>
        <v>4.9981932000000002</v>
      </c>
      <c r="Z54" s="130">
        <f t="shared" si="70"/>
        <v>3.4602876000000005</v>
      </c>
      <c r="AA54" s="130">
        <f t="shared" si="71"/>
        <v>0</v>
      </c>
      <c r="AB54" s="130">
        <f t="shared" si="72"/>
        <v>0</v>
      </c>
      <c r="AC54" s="181">
        <f t="shared" si="73"/>
        <v>28.800777599999996</v>
      </c>
      <c r="AD54" s="181">
        <f t="shared" si="74"/>
        <v>55.620919200000003</v>
      </c>
      <c r="AE54" s="181">
        <f t="shared" si="75"/>
        <v>34.049462999999996</v>
      </c>
      <c r="AF54" s="181">
        <f t="shared" si="76"/>
        <v>5.3448045000000004</v>
      </c>
      <c r="AG54" s="181">
        <f t="shared" si="77"/>
        <v>1.0689609</v>
      </c>
      <c r="AH54" s="85">
        <f t="shared" si="78"/>
        <v>39.7485</v>
      </c>
      <c r="AI54" s="135">
        <f t="shared" si="79"/>
        <v>72.872249999999994</v>
      </c>
      <c r="AJ54" s="135">
        <f t="shared" si="80"/>
        <v>46.373249999999999</v>
      </c>
      <c r="AK54" s="135">
        <f t="shared" si="81"/>
        <v>6.6247499999999997</v>
      </c>
      <c r="AL54" s="65">
        <f t="shared" si="82"/>
        <v>1.3249500000000001</v>
      </c>
      <c r="AM54" s="66">
        <v>0.9</v>
      </c>
      <c r="AN54" s="66">
        <v>0.75</v>
      </c>
      <c r="AO54" s="66">
        <v>0.9</v>
      </c>
      <c r="AP54" s="66">
        <v>0.1</v>
      </c>
      <c r="AQ54" s="66">
        <v>0.1</v>
      </c>
      <c r="AR54" s="65">
        <f t="shared" si="83"/>
        <v>38.022836940000005</v>
      </c>
      <c r="AS54" s="65">
        <f t="shared" si="84"/>
        <v>57.249403199999996</v>
      </c>
      <c r="AT54" s="65">
        <f t="shared" si="85"/>
        <v>44.677169460000002</v>
      </c>
      <c r="AU54" s="65">
        <f t="shared" si="86"/>
        <v>0.71053454999999999</v>
      </c>
      <c r="AV54" s="65">
        <f t="shared" si="87"/>
        <v>0.14210691</v>
      </c>
      <c r="AW54" s="65">
        <f t="shared" si="88"/>
        <v>4.2247596599999966</v>
      </c>
      <c r="AX54" s="65">
        <f t="shared" si="89"/>
        <v>19.083134399999999</v>
      </c>
      <c r="AY54" s="65">
        <f t="shared" si="90"/>
        <v>4.9641299399999994</v>
      </c>
      <c r="AZ54" s="65">
        <f t="shared" si="91"/>
        <v>6.3948109499999992</v>
      </c>
      <c r="BA54" s="86">
        <f t="shared" si="92"/>
        <v>1.2789621899999999</v>
      </c>
      <c r="BB54" s="83">
        <f t="shared" si="93"/>
        <v>74.70089999999999</v>
      </c>
      <c r="BC54" s="67">
        <f t="shared" si="94"/>
        <v>136.95165</v>
      </c>
      <c r="BD54" s="67">
        <f t="shared" si="95"/>
        <v>87.151049999999998</v>
      </c>
      <c r="BE54" s="68">
        <f t="shared" si="96"/>
        <v>12.450150000000001</v>
      </c>
      <c r="BF54" s="68">
        <f t="shared" si="97"/>
        <v>2.49003</v>
      </c>
      <c r="BG54" s="67">
        <f t="shared" si="98"/>
        <v>33.025537259999993</v>
      </c>
      <c r="BH54" s="67">
        <f t="shared" si="99"/>
        <v>74.704053600000009</v>
      </c>
      <c r="BI54" s="67">
        <f t="shared" si="100"/>
        <v>39.013592939999995</v>
      </c>
      <c r="BJ54" s="68">
        <f t="shared" si="101"/>
        <v>11.739615449999999</v>
      </c>
      <c r="BK54" s="68">
        <f t="shared" si="102"/>
        <v>2.3479230900000001</v>
      </c>
      <c r="BL54" s="67">
        <f t="shared" si="103"/>
        <v>41.675362740000004</v>
      </c>
      <c r="BM54" s="67">
        <f t="shared" si="104"/>
        <v>62.247596399999999</v>
      </c>
      <c r="BN54" s="67">
        <f t="shared" si="105"/>
        <v>48.137457060000003</v>
      </c>
      <c r="BO54" s="68">
        <f t="shared" si="106"/>
        <v>0.71053454999999999</v>
      </c>
      <c r="BP54" s="76">
        <f t="shared" si="107"/>
        <v>0.14210691</v>
      </c>
      <c r="BQ54" s="33">
        <v>1483200</v>
      </c>
      <c r="BR54" s="8">
        <v>56000</v>
      </c>
      <c r="BS54" t="s">
        <v>132</v>
      </c>
    </row>
    <row r="55" spans="1:71" x14ac:dyDescent="0.25">
      <c r="A55" s="52"/>
      <c r="B55" s="52">
        <v>63</v>
      </c>
      <c r="C55" s="53" t="s">
        <v>101</v>
      </c>
      <c r="D55" s="118">
        <v>2418</v>
      </c>
      <c r="E55" s="103" t="s">
        <v>158</v>
      </c>
      <c r="F55" s="35" t="s">
        <v>265</v>
      </c>
      <c r="G55" s="110">
        <v>2275</v>
      </c>
      <c r="H55" s="111">
        <v>0</v>
      </c>
      <c r="I55" s="107">
        <f t="shared" si="54"/>
        <v>2275</v>
      </c>
      <c r="J55" s="98">
        <f t="shared" si="55"/>
        <v>1</v>
      </c>
      <c r="K55" s="99">
        <v>2275</v>
      </c>
      <c r="L55" s="94">
        <f t="shared" si="56"/>
        <v>0</v>
      </c>
      <c r="M55" s="89">
        <f t="shared" si="57"/>
        <v>0</v>
      </c>
      <c r="N55" s="91">
        <f t="shared" si="58"/>
        <v>0</v>
      </c>
      <c r="O55" s="182">
        <f t="shared" si="59"/>
        <v>0</v>
      </c>
      <c r="P55" s="130">
        <f t="shared" si="60"/>
        <v>0</v>
      </c>
      <c r="Q55" s="130">
        <f t="shared" si="61"/>
        <v>0</v>
      </c>
      <c r="R55" s="64">
        <f t="shared" si="62"/>
        <v>0</v>
      </c>
      <c r="S55" s="130">
        <f t="shared" si="63"/>
        <v>0</v>
      </c>
      <c r="T55" s="130">
        <f t="shared" si="64"/>
        <v>0</v>
      </c>
      <c r="U55" s="130">
        <f t="shared" si="65"/>
        <v>0</v>
      </c>
      <c r="V55" s="130">
        <f t="shared" si="66"/>
        <v>0</v>
      </c>
      <c r="W55" s="130">
        <f t="shared" si="67"/>
        <v>0</v>
      </c>
      <c r="X55" s="130">
        <f t="shared" si="68"/>
        <v>0</v>
      </c>
      <c r="Y55" s="130">
        <f t="shared" si="69"/>
        <v>0</v>
      </c>
      <c r="Z55" s="130">
        <f t="shared" si="70"/>
        <v>0</v>
      </c>
      <c r="AA55" s="130">
        <f t="shared" si="71"/>
        <v>0</v>
      </c>
      <c r="AB55" s="130">
        <f t="shared" si="72"/>
        <v>0</v>
      </c>
      <c r="AC55" s="181">
        <f t="shared" si="73"/>
        <v>0</v>
      </c>
      <c r="AD55" s="181">
        <f t="shared" si="74"/>
        <v>0</v>
      </c>
      <c r="AE55" s="181">
        <f t="shared" si="75"/>
        <v>0</v>
      </c>
      <c r="AF55" s="181">
        <f t="shared" si="76"/>
        <v>0</v>
      </c>
      <c r="AG55" s="181">
        <f t="shared" si="77"/>
        <v>0</v>
      </c>
      <c r="AH55" s="85">
        <f t="shared" si="78"/>
        <v>49.822499999999998</v>
      </c>
      <c r="AI55" s="135">
        <f t="shared" si="79"/>
        <v>91.341250000000002</v>
      </c>
      <c r="AJ55" s="135">
        <f t="shared" si="80"/>
        <v>58.126249999999999</v>
      </c>
      <c r="AK55" s="135">
        <f t="shared" si="81"/>
        <v>8.3037500000000009</v>
      </c>
      <c r="AL55" s="65">
        <f t="shared" si="82"/>
        <v>1.6607499999999999</v>
      </c>
      <c r="AM55" s="66">
        <v>0.9</v>
      </c>
      <c r="AN55" s="66">
        <v>0.75</v>
      </c>
      <c r="AO55" s="66">
        <v>0.9</v>
      </c>
      <c r="AP55" s="66">
        <v>0.1</v>
      </c>
      <c r="AQ55" s="66">
        <v>0.1</v>
      </c>
      <c r="AR55" s="65">
        <f t="shared" si="83"/>
        <v>44.840249999999997</v>
      </c>
      <c r="AS55" s="65">
        <f t="shared" si="84"/>
        <v>68.505937500000002</v>
      </c>
      <c r="AT55" s="65">
        <f t="shared" si="85"/>
        <v>52.313625000000002</v>
      </c>
      <c r="AU55" s="65">
        <f t="shared" si="86"/>
        <v>0.83037500000000009</v>
      </c>
      <c r="AV55" s="65">
        <f t="shared" si="87"/>
        <v>0.166075</v>
      </c>
      <c r="AW55" s="65">
        <f t="shared" si="88"/>
        <v>4.9822500000000005</v>
      </c>
      <c r="AX55" s="65">
        <f t="shared" si="89"/>
        <v>22.835312500000001</v>
      </c>
      <c r="AY55" s="65">
        <f t="shared" si="90"/>
        <v>5.812624999999997</v>
      </c>
      <c r="AZ55" s="65">
        <f t="shared" si="91"/>
        <v>7.4733750000000008</v>
      </c>
      <c r="BA55" s="86">
        <f t="shared" si="92"/>
        <v>1.494675</v>
      </c>
      <c r="BB55" s="83">
        <f t="shared" si="93"/>
        <v>49.822499999999998</v>
      </c>
      <c r="BC55" s="67">
        <f t="shared" si="94"/>
        <v>91.341250000000002</v>
      </c>
      <c r="BD55" s="67">
        <f t="shared" si="95"/>
        <v>58.126249999999999</v>
      </c>
      <c r="BE55" s="68">
        <f t="shared" si="96"/>
        <v>8.3037500000000009</v>
      </c>
      <c r="BF55" s="68">
        <f t="shared" si="97"/>
        <v>1.6607499999999999</v>
      </c>
      <c r="BG55" s="67">
        <f t="shared" si="98"/>
        <v>4.9822500000000005</v>
      </c>
      <c r="BH55" s="67">
        <f t="shared" si="99"/>
        <v>22.835312500000001</v>
      </c>
      <c r="BI55" s="67">
        <f t="shared" si="100"/>
        <v>5.812624999999997</v>
      </c>
      <c r="BJ55" s="68">
        <f t="shared" si="101"/>
        <v>7.4733750000000008</v>
      </c>
      <c r="BK55" s="68">
        <f t="shared" si="102"/>
        <v>1.494675</v>
      </c>
      <c r="BL55" s="67">
        <f t="shared" si="103"/>
        <v>44.840249999999997</v>
      </c>
      <c r="BM55" s="67">
        <f t="shared" si="104"/>
        <v>68.505937500000002</v>
      </c>
      <c r="BN55" s="67">
        <f t="shared" si="105"/>
        <v>52.313625000000002</v>
      </c>
      <c r="BO55" s="68">
        <f t="shared" si="106"/>
        <v>0.83037500000000009</v>
      </c>
      <c r="BP55" s="76">
        <f t="shared" si="107"/>
        <v>0.166075</v>
      </c>
      <c r="BQ55" s="33">
        <v>0</v>
      </c>
      <c r="BR55" s="8">
        <v>1895950</v>
      </c>
      <c r="BS55" t="s">
        <v>129</v>
      </c>
    </row>
    <row r="56" spans="1:71" x14ac:dyDescent="0.25">
      <c r="A56" s="52"/>
      <c r="B56" s="52">
        <v>64</v>
      </c>
      <c r="C56" s="53" t="s">
        <v>99</v>
      </c>
      <c r="D56" s="118">
        <v>2346</v>
      </c>
      <c r="E56" s="103" t="s">
        <v>2</v>
      </c>
      <c r="F56" s="36" t="s">
        <v>265</v>
      </c>
      <c r="G56" s="110">
        <v>2383</v>
      </c>
      <c r="H56" s="111">
        <v>0</v>
      </c>
      <c r="I56" s="107">
        <f t="shared" si="54"/>
        <v>2383</v>
      </c>
      <c r="J56" s="98">
        <f t="shared" si="55"/>
        <v>1</v>
      </c>
      <c r="K56" s="99">
        <v>2383</v>
      </c>
      <c r="L56" s="94">
        <f t="shared" si="56"/>
        <v>0</v>
      </c>
      <c r="M56" s="89">
        <f t="shared" si="57"/>
        <v>0</v>
      </c>
      <c r="N56" s="91">
        <f t="shared" si="58"/>
        <v>0</v>
      </c>
      <c r="O56" s="182">
        <f t="shared" si="59"/>
        <v>0</v>
      </c>
      <c r="P56" s="130">
        <f t="shared" si="60"/>
        <v>0</v>
      </c>
      <c r="Q56" s="130">
        <f t="shared" si="61"/>
        <v>0</v>
      </c>
      <c r="R56" s="64">
        <f t="shared" si="62"/>
        <v>0</v>
      </c>
      <c r="S56" s="130">
        <f t="shared" si="63"/>
        <v>0</v>
      </c>
      <c r="T56" s="130">
        <f t="shared" si="64"/>
        <v>0</v>
      </c>
      <c r="U56" s="130">
        <f t="shared" si="65"/>
        <v>0</v>
      </c>
      <c r="V56" s="130">
        <f t="shared" si="66"/>
        <v>0</v>
      </c>
      <c r="W56" s="130">
        <f t="shared" si="67"/>
        <v>0</v>
      </c>
      <c r="X56" s="130">
        <f t="shared" si="68"/>
        <v>0</v>
      </c>
      <c r="Y56" s="130">
        <f t="shared" si="69"/>
        <v>0</v>
      </c>
      <c r="Z56" s="130">
        <f t="shared" si="70"/>
        <v>0</v>
      </c>
      <c r="AA56" s="130">
        <f t="shared" si="71"/>
        <v>0</v>
      </c>
      <c r="AB56" s="130">
        <f t="shared" si="72"/>
        <v>0</v>
      </c>
      <c r="AC56" s="181">
        <f t="shared" si="73"/>
        <v>0</v>
      </c>
      <c r="AD56" s="181">
        <f t="shared" si="74"/>
        <v>0</v>
      </c>
      <c r="AE56" s="181">
        <f t="shared" si="75"/>
        <v>0</v>
      </c>
      <c r="AF56" s="181">
        <f t="shared" si="76"/>
        <v>0</v>
      </c>
      <c r="AG56" s="181">
        <f t="shared" si="77"/>
        <v>0</v>
      </c>
      <c r="AH56" s="85">
        <f t="shared" si="78"/>
        <v>52.1877</v>
      </c>
      <c r="AI56" s="135">
        <f t="shared" si="79"/>
        <v>95.677449999999993</v>
      </c>
      <c r="AJ56" s="135">
        <f t="shared" si="80"/>
        <v>60.885649999999998</v>
      </c>
      <c r="AK56" s="135">
        <f t="shared" si="81"/>
        <v>8.6979500000000005</v>
      </c>
      <c r="AL56" s="65">
        <f t="shared" si="82"/>
        <v>1.73959</v>
      </c>
      <c r="AM56" s="66">
        <v>0.9</v>
      </c>
      <c r="AN56" s="66">
        <v>0.75</v>
      </c>
      <c r="AO56" s="66">
        <v>0.9</v>
      </c>
      <c r="AP56" s="66">
        <v>0.1</v>
      </c>
      <c r="AQ56" s="66">
        <v>0.1</v>
      </c>
      <c r="AR56" s="65">
        <f t="shared" si="83"/>
        <v>46.96893</v>
      </c>
      <c r="AS56" s="65">
        <f t="shared" si="84"/>
        <v>71.758087499999988</v>
      </c>
      <c r="AT56" s="65">
        <f t="shared" si="85"/>
        <v>54.797085000000003</v>
      </c>
      <c r="AU56" s="65">
        <f t="shared" si="86"/>
        <v>0.8697950000000001</v>
      </c>
      <c r="AV56" s="65">
        <f t="shared" si="87"/>
        <v>0.173959</v>
      </c>
      <c r="AW56" s="65">
        <f t="shared" si="88"/>
        <v>5.2187699999999992</v>
      </c>
      <c r="AX56" s="65">
        <f t="shared" si="89"/>
        <v>23.919362500000005</v>
      </c>
      <c r="AY56" s="65">
        <f t="shared" si="90"/>
        <v>6.0885649999999956</v>
      </c>
      <c r="AZ56" s="65">
        <f t="shared" si="91"/>
        <v>7.8281550000000006</v>
      </c>
      <c r="BA56" s="86">
        <f t="shared" si="92"/>
        <v>1.565631</v>
      </c>
      <c r="BB56" s="83">
        <f t="shared" si="93"/>
        <v>52.1877</v>
      </c>
      <c r="BC56" s="67">
        <f t="shared" si="94"/>
        <v>95.677449999999993</v>
      </c>
      <c r="BD56" s="67">
        <f t="shared" si="95"/>
        <v>60.885649999999998</v>
      </c>
      <c r="BE56" s="68">
        <f t="shared" si="96"/>
        <v>8.6979500000000005</v>
      </c>
      <c r="BF56" s="68">
        <f t="shared" si="97"/>
        <v>1.73959</v>
      </c>
      <c r="BG56" s="67">
        <f t="shared" si="98"/>
        <v>5.2187699999999992</v>
      </c>
      <c r="BH56" s="67">
        <f t="shared" si="99"/>
        <v>23.919362500000005</v>
      </c>
      <c r="BI56" s="67">
        <f t="shared" si="100"/>
        <v>6.0885649999999956</v>
      </c>
      <c r="BJ56" s="68">
        <f t="shared" si="101"/>
        <v>7.8281550000000006</v>
      </c>
      <c r="BK56" s="68">
        <f t="shared" si="102"/>
        <v>1.565631</v>
      </c>
      <c r="BL56" s="67">
        <f t="shared" si="103"/>
        <v>46.96893</v>
      </c>
      <c r="BM56" s="67">
        <f t="shared" si="104"/>
        <v>71.758087499999988</v>
      </c>
      <c r="BN56" s="67">
        <f t="shared" si="105"/>
        <v>54.797085000000003</v>
      </c>
      <c r="BO56" s="68">
        <f t="shared" si="106"/>
        <v>0.8697950000000001</v>
      </c>
      <c r="BP56" s="76">
        <f t="shared" si="107"/>
        <v>0.173959</v>
      </c>
      <c r="BQ56" s="33">
        <v>0</v>
      </c>
      <c r="BR56" s="8">
        <v>0</v>
      </c>
    </row>
    <row r="57" spans="1:71" x14ac:dyDescent="0.25">
      <c r="A57" s="52"/>
      <c r="B57" s="52">
        <v>86</v>
      </c>
      <c r="C57" s="53" t="s">
        <v>124</v>
      </c>
      <c r="D57" s="118">
        <v>1325</v>
      </c>
      <c r="E57" s="103" t="s">
        <v>166</v>
      </c>
      <c r="F57" s="36" t="s">
        <v>265</v>
      </c>
      <c r="G57" s="110">
        <v>1464</v>
      </c>
      <c r="H57" s="111">
        <v>16</v>
      </c>
      <c r="I57" s="107">
        <f t="shared" si="54"/>
        <v>1480</v>
      </c>
      <c r="J57" s="98">
        <f t="shared" si="55"/>
        <v>0.77527322404371579</v>
      </c>
      <c r="K57" s="99">
        <v>1135</v>
      </c>
      <c r="L57" s="94">
        <f t="shared" si="56"/>
        <v>0.22472677595628415</v>
      </c>
      <c r="M57" s="89">
        <f t="shared" si="57"/>
        <v>329</v>
      </c>
      <c r="N57" s="91">
        <f t="shared" si="58"/>
        <v>7.2050999999999998</v>
      </c>
      <c r="O57" s="182">
        <f t="shared" si="59"/>
        <v>13.209350000000001</v>
      </c>
      <c r="P57" s="130">
        <f t="shared" si="60"/>
        <v>8.4059500000000007</v>
      </c>
      <c r="Q57" s="130">
        <f t="shared" si="61"/>
        <v>1.20085</v>
      </c>
      <c r="R57" s="64">
        <f t="shared" si="62"/>
        <v>0.24016999999999999</v>
      </c>
      <c r="S57" s="130">
        <f t="shared" si="63"/>
        <v>0.51516465</v>
      </c>
      <c r="T57" s="130">
        <f t="shared" si="64"/>
        <v>0.71330490000000002</v>
      </c>
      <c r="U57" s="130">
        <f t="shared" si="65"/>
        <v>0.67367684999999999</v>
      </c>
      <c r="V57" s="130">
        <f t="shared" si="66"/>
        <v>9.9070125000000009E-2</v>
      </c>
      <c r="W57" s="130">
        <f t="shared" si="67"/>
        <v>1.9814024999999999E-2</v>
      </c>
      <c r="X57" s="130">
        <f t="shared" si="68"/>
        <v>0.75293295000000005</v>
      </c>
      <c r="Y57" s="130">
        <f t="shared" si="69"/>
        <v>1.0303293</v>
      </c>
      <c r="Z57" s="130">
        <f t="shared" si="70"/>
        <v>0.71330490000000002</v>
      </c>
      <c r="AA57" s="130">
        <f t="shared" si="71"/>
        <v>0</v>
      </c>
      <c r="AB57" s="130">
        <f t="shared" si="72"/>
        <v>0</v>
      </c>
      <c r="AC57" s="181">
        <f t="shared" si="73"/>
        <v>5.9370023999999999</v>
      </c>
      <c r="AD57" s="181">
        <f t="shared" si="74"/>
        <v>11.4657158</v>
      </c>
      <c r="AE57" s="181">
        <f t="shared" si="75"/>
        <v>7.0189682500000012</v>
      </c>
      <c r="AF57" s="181">
        <f t="shared" si="76"/>
        <v>1.1017798750000001</v>
      </c>
      <c r="AG57" s="181">
        <f t="shared" si="77"/>
        <v>0.22035597499999998</v>
      </c>
      <c r="AH57" s="85">
        <f t="shared" si="78"/>
        <v>25.206900000000001</v>
      </c>
      <c r="AI57" s="135">
        <f t="shared" si="79"/>
        <v>46.212649999999996</v>
      </c>
      <c r="AJ57" s="135">
        <f t="shared" si="80"/>
        <v>29.408049999999999</v>
      </c>
      <c r="AK57" s="135">
        <f t="shared" si="81"/>
        <v>4.2011500000000002</v>
      </c>
      <c r="AL57" s="65">
        <f t="shared" si="82"/>
        <v>0.84023000000000003</v>
      </c>
      <c r="AM57" s="66">
        <v>0.9</v>
      </c>
      <c r="AN57" s="66">
        <v>0.75</v>
      </c>
      <c r="AO57" s="66">
        <v>0.9</v>
      </c>
      <c r="AP57" s="66">
        <v>0.1</v>
      </c>
      <c r="AQ57" s="66">
        <v>0.1</v>
      </c>
      <c r="AR57" s="65">
        <f t="shared" si="83"/>
        <v>23.149858184999999</v>
      </c>
      <c r="AS57" s="65">
        <f t="shared" si="84"/>
        <v>35.194466174999995</v>
      </c>
      <c r="AT57" s="65">
        <f t="shared" si="85"/>
        <v>27.073554165000001</v>
      </c>
      <c r="AU57" s="65">
        <f t="shared" si="86"/>
        <v>0.43002201250000005</v>
      </c>
      <c r="AV57" s="65">
        <f t="shared" si="87"/>
        <v>8.6004402500000007E-2</v>
      </c>
      <c r="AW57" s="65">
        <f t="shared" si="88"/>
        <v>2.5722064650000007</v>
      </c>
      <c r="AX57" s="65">
        <f t="shared" si="89"/>
        <v>11.731488724999998</v>
      </c>
      <c r="AY57" s="65">
        <f t="shared" si="90"/>
        <v>3.0081726849999981</v>
      </c>
      <c r="AZ57" s="65">
        <f t="shared" si="91"/>
        <v>3.8701981124999998</v>
      </c>
      <c r="BA57" s="86">
        <f t="shared" si="92"/>
        <v>0.77403962250000002</v>
      </c>
      <c r="BB57" s="83">
        <f t="shared" si="93"/>
        <v>32.411999999999999</v>
      </c>
      <c r="BC57" s="67">
        <f t="shared" si="94"/>
        <v>59.421999999999997</v>
      </c>
      <c r="BD57" s="67">
        <f t="shared" si="95"/>
        <v>37.814</v>
      </c>
      <c r="BE57" s="68">
        <f t="shared" si="96"/>
        <v>5.4020000000000001</v>
      </c>
      <c r="BF57" s="68">
        <f t="shared" si="97"/>
        <v>1.0804</v>
      </c>
      <c r="BG57" s="67">
        <f t="shared" si="98"/>
        <v>8.5092088650000015</v>
      </c>
      <c r="BH57" s="67">
        <f t="shared" si="99"/>
        <v>23.197204524999997</v>
      </c>
      <c r="BI57" s="67">
        <f t="shared" si="100"/>
        <v>10.027140934999998</v>
      </c>
      <c r="BJ57" s="68">
        <f t="shared" si="101"/>
        <v>4.9719779874999999</v>
      </c>
      <c r="BK57" s="68">
        <f t="shared" si="102"/>
        <v>0.99439559750000006</v>
      </c>
      <c r="BL57" s="67">
        <f t="shared" si="103"/>
        <v>23.902791135000001</v>
      </c>
      <c r="BM57" s="67">
        <f t="shared" si="104"/>
        <v>36.224795474999993</v>
      </c>
      <c r="BN57" s="67">
        <f t="shared" si="105"/>
        <v>27.786859065000002</v>
      </c>
      <c r="BO57" s="68">
        <f t="shared" si="106"/>
        <v>0.43002201250000005</v>
      </c>
      <c r="BP57" s="76">
        <f t="shared" si="107"/>
        <v>8.6004402500000007E-2</v>
      </c>
      <c r="BQ57" s="33">
        <v>192000</v>
      </c>
      <c r="BR57" s="8">
        <v>501350</v>
      </c>
      <c r="BS57" t="s">
        <v>160</v>
      </c>
    </row>
    <row r="58" spans="1:71" x14ac:dyDescent="0.25">
      <c r="A58" s="52"/>
      <c r="B58" s="52">
        <v>87</v>
      </c>
      <c r="C58" s="53" t="s">
        <v>125</v>
      </c>
      <c r="D58" s="118">
        <v>1280</v>
      </c>
      <c r="E58" s="103" t="s">
        <v>13</v>
      </c>
      <c r="F58" s="36" t="s">
        <v>265</v>
      </c>
      <c r="G58" s="110">
        <v>2105</v>
      </c>
      <c r="H58" s="110">
        <v>1876</v>
      </c>
      <c r="I58" s="107">
        <f t="shared" si="54"/>
        <v>3981</v>
      </c>
      <c r="J58" s="98">
        <f t="shared" si="55"/>
        <v>0.60997624703087883</v>
      </c>
      <c r="K58" s="99">
        <v>1284</v>
      </c>
      <c r="L58" s="94">
        <f t="shared" si="56"/>
        <v>0.39002375296912112</v>
      </c>
      <c r="M58" s="89">
        <f t="shared" si="57"/>
        <v>821</v>
      </c>
      <c r="N58" s="91">
        <f t="shared" si="58"/>
        <v>17.979900000000001</v>
      </c>
      <c r="O58" s="182">
        <f t="shared" si="59"/>
        <v>32.963149999999999</v>
      </c>
      <c r="P58" s="130">
        <f t="shared" si="60"/>
        <v>20.97655</v>
      </c>
      <c r="Q58" s="130">
        <f t="shared" si="61"/>
        <v>2.9966499999999998</v>
      </c>
      <c r="R58" s="64">
        <f t="shared" si="62"/>
        <v>0.59933000000000003</v>
      </c>
      <c r="S58" s="130">
        <f t="shared" si="63"/>
        <v>1.28556285</v>
      </c>
      <c r="T58" s="130">
        <f t="shared" si="64"/>
        <v>1.7800101000000002</v>
      </c>
      <c r="U58" s="130">
        <f t="shared" si="65"/>
        <v>1.6811206500000002</v>
      </c>
      <c r="V58" s="130">
        <f t="shared" si="66"/>
        <v>0.247223625</v>
      </c>
      <c r="W58" s="130">
        <f t="shared" si="67"/>
        <v>4.9444725000000002E-2</v>
      </c>
      <c r="X58" s="130">
        <f t="shared" si="68"/>
        <v>1.8788995499999999</v>
      </c>
      <c r="Y58" s="130">
        <f t="shared" si="69"/>
        <v>2.5711257000000001</v>
      </c>
      <c r="Z58" s="130">
        <f t="shared" si="70"/>
        <v>1.7800101000000002</v>
      </c>
      <c r="AA58" s="130">
        <f t="shared" si="71"/>
        <v>0</v>
      </c>
      <c r="AB58" s="130">
        <f t="shared" si="72"/>
        <v>0</v>
      </c>
      <c r="AC58" s="181">
        <f t="shared" si="73"/>
        <v>14.815437599999999</v>
      </c>
      <c r="AD58" s="181">
        <f t="shared" si="74"/>
        <v>28.612014200000001</v>
      </c>
      <c r="AE58" s="181">
        <f t="shared" si="75"/>
        <v>17.515419250000001</v>
      </c>
      <c r="AF58" s="181">
        <f t="shared" si="76"/>
        <v>2.7494263749999996</v>
      </c>
      <c r="AG58" s="181">
        <f t="shared" si="77"/>
        <v>0.54988527500000006</v>
      </c>
      <c r="AH58" s="85">
        <f t="shared" si="78"/>
        <v>69.203999999999994</v>
      </c>
      <c r="AI58" s="135">
        <f t="shared" si="79"/>
        <v>126.874</v>
      </c>
      <c r="AJ58" s="135">
        <f t="shared" si="80"/>
        <v>80.738</v>
      </c>
      <c r="AK58" s="135">
        <f t="shared" si="81"/>
        <v>11.534000000000001</v>
      </c>
      <c r="AL58" s="65">
        <f t="shared" si="82"/>
        <v>2.3068</v>
      </c>
      <c r="AM58" s="66">
        <v>0.9</v>
      </c>
      <c r="AN58" s="66">
        <v>0.75</v>
      </c>
      <c r="AO58" s="66">
        <v>0.9</v>
      </c>
      <c r="AP58" s="66">
        <v>0.1</v>
      </c>
      <c r="AQ58" s="66">
        <v>0.1</v>
      </c>
      <c r="AR58" s="65">
        <f t="shared" si="83"/>
        <v>63.440606565000003</v>
      </c>
      <c r="AS58" s="65">
        <f t="shared" si="84"/>
        <v>96.490507574999995</v>
      </c>
      <c r="AT58" s="65">
        <f t="shared" si="85"/>
        <v>74.177208585000002</v>
      </c>
      <c r="AU58" s="65">
        <f t="shared" si="86"/>
        <v>1.1781223625000001</v>
      </c>
      <c r="AV58" s="65">
        <f t="shared" si="87"/>
        <v>0.23562447249999999</v>
      </c>
      <c r="AW58" s="65">
        <f t="shared" si="88"/>
        <v>7.0489562849999956</v>
      </c>
      <c r="AX58" s="65">
        <f t="shared" si="89"/>
        <v>32.163502524999998</v>
      </c>
      <c r="AY58" s="65">
        <f t="shared" si="90"/>
        <v>8.241912064999994</v>
      </c>
      <c r="AZ58" s="65">
        <f t="shared" si="91"/>
        <v>10.603101262500001</v>
      </c>
      <c r="BA58" s="86">
        <f t="shared" si="92"/>
        <v>2.1206202524999997</v>
      </c>
      <c r="BB58" s="83">
        <f t="shared" si="93"/>
        <v>87.183899999999994</v>
      </c>
      <c r="BC58" s="67">
        <f t="shared" si="94"/>
        <v>159.83715000000001</v>
      </c>
      <c r="BD58" s="67">
        <f t="shared" si="95"/>
        <v>101.71455</v>
      </c>
      <c r="BE58" s="68">
        <f t="shared" si="96"/>
        <v>14.530650000000001</v>
      </c>
      <c r="BF58" s="68">
        <f t="shared" si="97"/>
        <v>2.9061300000000001</v>
      </c>
      <c r="BG58" s="67">
        <f t="shared" si="98"/>
        <v>21.864393884999995</v>
      </c>
      <c r="BH58" s="67">
        <f t="shared" si="99"/>
        <v>60.775516725000003</v>
      </c>
      <c r="BI58" s="67">
        <f t="shared" si="100"/>
        <v>25.757331314999995</v>
      </c>
      <c r="BJ58" s="68">
        <f t="shared" si="101"/>
        <v>13.3525276375</v>
      </c>
      <c r="BK58" s="68">
        <f t="shared" si="102"/>
        <v>2.6705055274999996</v>
      </c>
      <c r="BL58" s="67">
        <f t="shared" si="103"/>
        <v>65.319506114999996</v>
      </c>
      <c r="BM58" s="67">
        <f t="shared" si="104"/>
        <v>99.061633274999991</v>
      </c>
      <c r="BN58" s="67">
        <f t="shared" si="105"/>
        <v>75.957218685000001</v>
      </c>
      <c r="BO58" s="68">
        <f t="shared" si="106"/>
        <v>1.1781223625000001</v>
      </c>
      <c r="BP58" s="76">
        <f t="shared" si="107"/>
        <v>0.23562447249999999</v>
      </c>
      <c r="BQ58" s="33">
        <v>615190</v>
      </c>
      <c r="BR58" s="8">
        <v>36000</v>
      </c>
      <c r="BS58" t="s">
        <v>133</v>
      </c>
    </row>
    <row r="59" spans="1:71" x14ac:dyDescent="0.25">
      <c r="A59" s="52"/>
      <c r="B59" s="52">
        <v>88</v>
      </c>
      <c r="C59" s="53" t="s">
        <v>126</v>
      </c>
      <c r="D59" s="118">
        <v>1137</v>
      </c>
      <c r="E59" s="103" t="s">
        <v>167</v>
      </c>
      <c r="F59" s="36" t="s">
        <v>265</v>
      </c>
      <c r="G59" s="110">
        <v>1449</v>
      </c>
      <c r="H59" s="111">
        <v>200</v>
      </c>
      <c r="I59" s="107">
        <f t="shared" si="54"/>
        <v>1649</v>
      </c>
      <c r="J59" s="98">
        <f t="shared" si="55"/>
        <v>1</v>
      </c>
      <c r="K59" s="99">
        <v>1449</v>
      </c>
      <c r="L59" s="94">
        <f t="shared" si="56"/>
        <v>0</v>
      </c>
      <c r="M59" s="89">
        <f t="shared" si="57"/>
        <v>0</v>
      </c>
      <c r="N59" s="91">
        <f t="shared" si="58"/>
        <v>0</v>
      </c>
      <c r="O59" s="182">
        <f t="shared" si="59"/>
        <v>0</v>
      </c>
      <c r="P59" s="130">
        <f t="shared" si="60"/>
        <v>0</v>
      </c>
      <c r="Q59" s="130">
        <f t="shared" si="61"/>
        <v>0</v>
      </c>
      <c r="R59" s="64">
        <f t="shared" si="62"/>
        <v>0</v>
      </c>
      <c r="S59" s="130">
        <f t="shared" si="63"/>
        <v>0</v>
      </c>
      <c r="T59" s="130">
        <f t="shared" si="64"/>
        <v>0</v>
      </c>
      <c r="U59" s="130">
        <f t="shared" si="65"/>
        <v>0</v>
      </c>
      <c r="V59" s="130">
        <f t="shared" si="66"/>
        <v>0</v>
      </c>
      <c r="W59" s="130">
        <f t="shared" si="67"/>
        <v>0</v>
      </c>
      <c r="X59" s="130">
        <f t="shared" si="68"/>
        <v>0</v>
      </c>
      <c r="Y59" s="130">
        <f t="shared" si="69"/>
        <v>0</v>
      </c>
      <c r="Z59" s="130">
        <f t="shared" si="70"/>
        <v>0</v>
      </c>
      <c r="AA59" s="130">
        <f t="shared" si="71"/>
        <v>0</v>
      </c>
      <c r="AB59" s="130">
        <f t="shared" si="72"/>
        <v>0</v>
      </c>
      <c r="AC59" s="181">
        <f t="shared" si="73"/>
        <v>0</v>
      </c>
      <c r="AD59" s="181">
        <f t="shared" si="74"/>
        <v>0</v>
      </c>
      <c r="AE59" s="181">
        <f t="shared" si="75"/>
        <v>0</v>
      </c>
      <c r="AF59" s="181">
        <f t="shared" si="76"/>
        <v>0</v>
      </c>
      <c r="AG59" s="181">
        <f t="shared" si="77"/>
        <v>0</v>
      </c>
      <c r="AH59" s="85">
        <f t="shared" si="78"/>
        <v>36.113100000000003</v>
      </c>
      <c r="AI59" s="135">
        <f t="shared" si="79"/>
        <v>66.207350000000005</v>
      </c>
      <c r="AJ59" s="135">
        <f t="shared" si="80"/>
        <v>42.131950000000003</v>
      </c>
      <c r="AK59" s="135">
        <f t="shared" si="81"/>
        <v>6.0188499999999996</v>
      </c>
      <c r="AL59" s="65">
        <f t="shared" si="82"/>
        <v>1.20377</v>
      </c>
      <c r="AM59" s="66">
        <v>0.9</v>
      </c>
      <c r="AN59" s="66">
        <v>0.75</v>
      </c>
      <c r="AO59" s="66">
        <v>0.9</v>
      </c>
      <c r="AP59" s="66">
        <v>0.1</v>
      </c>
      <c r="AQ59" s="66">
        <v>0.1</v>
      </c>
      <c r="AR59" s="65">
        <f t="shared" si="83"/>
        <v>32.501790000000007</v>
      </c>
      <c r="AS59" s="65">
        <f t="shared" si="84"/>
        <v>49.6555125</v>
      </c>
      <c r="AT59" s="65">
        <f t="shared" si="85"/>
        <v>37.918755000000004</v>
      </c>
      <c r="AU59" s="65">
        <f t="shared" si="86"/>
        <v>0.601885</v>
      </c>
      <c r="AV59" s="65">
        <f t="shared" si="87"/>
        <v>0.12037700000000001</v>
      </c>
      <c r="AW59" s="65">
        <f t="shared" si="88"/>
        <v>3.611309999999996</v>
      </c>
      <c r="AX59" s="65">
        <f t="shared" si="89"/>
        <v>16.551837500000005</v>
      </c>
      <c r="AY59" s="65">
        <f t="shared" si="90"/>
        <v>4.2131949999999989</v>
      </c>
      <c r="AZ59" s="65">
        <f t="shared" si="91"/>
        <v>5.4169649999999994</v>
      </c>
      <c r="BA59" s="86">
        <f t="shared" si="92"/>
        <v>1.0833930000000001</v>
      </c>
      <c r="BB59" s="83">
        <f t="shared" si="93"/>
        <v>36.113100000000003</v>
      </c>
      <c r="BC59" s="67">
        <f t="shared" si="94"/>
        <v>66.207350000000005</v>
      </c>
      <c r="BD59" s="67">
        <f t="shared" si="95"/>
        <v>42.131950000000003</v>
      </c>
      <c r="BE59" s="68">
        <f t="shared" si="96"/>
        <v>6.0188499999999996</v>
      </c>
      <c r="BF59" s="68">
        <f t="shared" si="97"/>
        <v>1.20377</v>
      </c>
      <c r="BG59" s="67">
        <f t="shared" si="98"/>
        <v>3.611309999999996</v>
      </c>
      <c r="BH59" s="67">
        <f t="shared" si="99"/>
        <v>16.551837500000005</v>
      </c>
      <c r="BI59" s="67">
        <f t="shared" si="100"/>
        <v>4.2131949999999989</v>
      </c>
      <c r="BJ59" s="68">
        <f t="shared" si="101"/>
        <v>5.4169649999999994</v>
      </c>
      <c r="BK59" s="68">
        <f t="shared" si="102"/>
        <v>1.0833930000000001</v>
      </c>
      <c r="BL59" s="67">
        <f t="shared" si="103"/>
        <v>32.501790000000007</v>
      </c>
      <c r="BM59" s="67">
        <f t="shared" si="104"/>
        <v>49.6555125</v>
      </c>
      <c r="BN59" s="67">
        <f t="shared" si="105"/>
        <v>37.918755000000004</v>
      </c>
      <c r="BO59" s="68">
        <f t="shared" si="106"/>
        <v>0.601885</v>
      </c>
      <c r="BP59" s="76">
        <f t="shared" si="107"/>
        <v>0.12037700000000001</v>
      </c>
      <c r="BQ59" s="33">
        <v>0</v>
      </c>
      <c r="BR59" s="8">
        <v>118300</v>
      </c>
      <c r="BS59" t="s">
        <v>129</v>
      </c>
    </row>
    <row r="60" spans="1:71" ht="15.75" thickBot="1" x14ac:dyDescent="0.3">
      <c r="A60" s="57"/>
      <c r="B60" s="302">
        <v>89</v>
      </c>
      <c r="C60" s="305" t="s">
        <v>127</v>
      </c>
      <c r="D60" s="306">
        <v>1085</v>
      </c>
      <c r="E60" s="307" t="s">
        <v>2</v>
      </c>
      <c r="F60" s="36" t="s">
        <v>265</v>
      </c>
      <c r="G60" s="210">
        <v>762</v>
      </c>
      <c r="H60" s="210">
        <v>880</v>
      </c>
      <c r="I60" s="310">
        <f t="shared" si="54"/>
        <v>1642</v>
      </c>
      <c r="J60" s="311">
        <f t="shared" si="55"/>
        <v>0.8923884514435696</v>
      </c>
      <c r="K60" s="305">
        <v>680</v>
      </c>
      <c r="L60" s="313">
        <f t="shared" si="56"/>
        <v>0.10761154855643044</v>
      </c>
      <c r="M60" s="314">
        <f t="shared" si="57"/>
        <v>82</v>
      </c>
      <c r="N60" s="315">
        <f t="shared" si="58"/>
        <v>1.7958000000000001</v>
      </c>
      <c r="O60" s="317">
        <f t="shared" si="59"/>
        <v>3.2923</v>
      </c>
      <c r="P60" s="318">
        <f t="shared" si="60"/>
        <v>2.0951</v>
      </c>
      <c r="Q60" s="318">
        <f t="shared" si="61"/>
        <v>0.29930000000000001</v>
      </c>
      <c r="R60" s="319">
        <f t="shared" si="62"/>
        <v>5.9859999999999997E-2</v>
      </c>
      <c r="S60" s="318">
        <f t="shared" si="63"/>
        <v>0.12839970000000001</v>
      </c>
      <c r="T60" s="318">
        <f t="shared" si="64"/>
        <v>0.1777842</v>
      </c>
      <c r="U60" s="318">
        <f t="shared" si="65"/>
        <v>0.16790730000000001</v>
      </c>
      <c r="V60" s="318">
        <f t="shared" si="66"/>
        <v>2.4692250000000002E-2</v>
      </c>
      <c r="W60" s="318">
        <f t="shared" si="67"/>
        <v>4.9384499999999996E-3</v>
      </c>
      <c r="X60" s="318">
        <f t="shared" si="68"/>
        <v>0.18766110000000003</v>
      </c>
      <c r="Y60" s="318">
        <f t="shared" si="69"/>
        <v>0.25679940000000001</v>
      </c>
      <c r="Z60" s="318">
        <f t="shared" si="70"/>
        <v>0.1777842</v>
      </c>
      <c r="AA60" s="318">
        <f t="shared" si="71"/>
        <v>0</v>
      </c>
      <c r="AB60" s="318">
        <f t="shared" si="72"/>
        <v>0</v>
      </c>
      <c r="AC60" s="320">
        <f t="shared" si="73"/>
        <v>1.4797392</v>
      </c>
      <c r="AD60" s="320">
        <f t="shared" si="74"/>
        <v>2.8577164000000002</v>
      </c>
      <c r="AE60" s="320">
        <f t="shared" si="75"/>
        <v>1.7494084999999999</v>
      </c>
      <c r="AF60" s="320">
        <f t="shared" si="76"/>
        <v>0.27460774999999998</v>
      </c>
      <c r="AG60" s="320">
        <f t="shared" si="77"/>
        <v>5.492155E-2</v>
      </c>
      <c r="AH60" s="321">
        <f t="shared" si="78"/>
        <v>34.164000000000001</v>
      </c>
      <c r="AI60" s="323">
        <f t="shared" si="79"/>
        <v>62.634</v>
      </c>
      <c r="AJ60" s="323">
        <f t="shared" si="80"/>
        <v>39.857999999999997</v>
      </c>
      <c r="AK60" s="323">
        <f t="shared" si="81"/>
        <v>5.694</v>
      </c>
      <c r="AL60" s="324">
        <f t="shared" si="82"/>
        <v>1.1388</v>
      </c>
      <c r="AM60" s="325">
        <v>0.9</v>
      </c>
      <c r="AN60" s="325">
        <v>0.75</v>
      </c>
      <c r="AO60" s="325">
        <v>0.9</v>
      </c>
      <c r="AP60" s="325">
        <v>0.1</v>
      </c>
      <c r="AQ60" s="325">
        <v>0.1</v>
      </c>
      <c r="AR60" s="324">
        <f t="shared" si="83"/>
        <v>30.863159730000003</v>
      </c>
      <c r="AS60" s="324">
        <f t="shared" si="84"/>
        <v>47.108838149999997</v>
      </c>
      <c r="AT60" s="324">
        <f t="shared" si="85"/>
        <v>36.023316569999999</v>
      </c>
      <c r="AU60" s="324">
        <f t="shared" si="86"/>
        <v>0.57186922500000004</v>
      </c>
      <c r="AV60" s="324">
        <f t="shared" si="87"/>
        <v>0.11437384500000002</v>
      </c>
      <c r="AW60" s="324">
        <f t="shared" si="88"/>
        <v>3.4292399700000011</v>
      </c>
      <c r="AX60" s="324">
        <f t="shared" si="89"/>
        <v>15.702946050000001</v>
      </c>
      <c r="AY60" s="324">
        <f t="shared" si="90"/>
        <v>4.0025907300000014</v>
      </c>
      <c r="AZ60" s="324">
        <f t="shared" si="91"/>
        <v>5.1468230249999998</v>
      </c>
      <c r="BA60" s="326">
        <f t="shared" si="92"/>
        <v>1.029364605</v>
      </c>
      <c r="BB60" s="327">
        <f t="shared" si="93"/>
        <v>35.959800000000001</v>
      </c>
      <c r="BC60" s="329">
        <f t="shared" si="94"/>
        <v>65.926299999999998</v>
      </c>
      <c r="BD60" s="329">
        <f t="shared" si="95"/>
        <v>41.953099999999999</v>
      </c>
      <c r="BE60" s="330">
        <f t="shared" si="96"/>
        <v>5.9932999999999996</v>
      </c>
      <c r="BF60" s="330">
        <f t="shared" si="97"/>
        <v>1.1986600000000001</v>
      </c>
      <c r="BG60" s="329">
        <f t="shared" si="98"/>
        <v>4.9089791700000012</v>
      </c>
      <c r="BH60" s="329">
        <f t="shared" si="99"/>
        <v>18.560662450000002</v>
      </c>
      <c r="BI60" s="329">
        <f t="shared" si="100"/>
        <v>5.7519992300000009</v>
      </c>
      <c r="BJ60" s="330">
        <f t="shared" si="101"/>
        <v>5.4214307750000001</v>
      </c>
      <c r="BK60" s="330">
        <f t="shared" si="102"/>
        <v>1.084286155</v>
      </c>
      <c r="BL60" s="329">
        <f t="shared" si="103"/>
        <v>31.050820830000003</v>
      </c>
      <c r="BM60" s="329">
        <f t="shared" si="104"/>
        <v>47.365637549999995</v>
      </c>
      <c r="BN60" s="329">
        <f t="shared" si="105"/>
        <v>36.201100769999996</v>
      </c>
      <c r="BO60" s="330">
        <f t="shared" si="106"/>
        <v>0.57186922500000004</v>
      </c>
      <c r="BP60" s="331">
        <f t="shared" si="107"/>
        <v>0.11437384500000002</v>
      </c>
      <c r="BQ60" s="33">
        <v>101640</v>
      </c>
      <c r="BR60" s="8">
        <v>0</v>
      </c>
      <c r="BS60" t="s">
        <v>160</v>
      </c>
    </row>
    <row r="61" spans="1:71" s="350" customFormat="1" ht="16.5" thickBot="1" x14ac:dyDescent="0.3">
      <c r="A61" s="346"/>
      <c r="B61" s="455" t="s">
        <v>357</v>
      </c>
      <c r="C61" s="456"/>
      <c r="D61" s="456"/>
      <c r="E61" s="457"/>
      <c r="F61" s="347"/>
      <c r="G61" s="309">
        <f>SUM(G44:G60)</f>
        <v>122739</v>
      </c>
      <c r="H61" s="309">
        <f t="shared" ref="H61:P61" si="152">SUM(H44:H60)</f>
        <v>60595</v>
      </c>
      <c r="I61" s="309">
        <f t="shared" si="152"/>
        <v>183334</v>
      </c>
      <c r="J61" s="333">
        <f>K61/G61</f>
        <v>0.91920253546142627</v>
      </c>
      <c r="K61" s="309">
        <f t="shared" si="152"/>
        <v>112822</v>
      </c>
      <c r="L61" s="333">
        <f>M61/G61</f>
        <v>8.0797464538573727E-2</v>
      </c>
      <c r="M61" s="309">
        <f t="shared" si="152"/>
        <v>9917</v>
      </c>
      <c r="N61" s="316">
        <f t="shared" si="152"/>
        <v>217.18230000000003</v>
      </c>
      <c r="O61" s="316">
        <f t="shared" si="152"/>
        <v>398.16755000000001</v>
      </c>
      <c r="P61" s="316">
        <f t="shared" si="152"/>
        <v>253.37934999999999</v>
      </c>
      <c r="Q61" s="316">
        <f t="shared" ref="Q61" si="153">SUM(Q44:Q60)</f>
        <v>36.197050000000004</v>
      </c>
      <c r="R61" s="316">
        <f t="shared" ref="R61" si="154">SUM(R44:R60)</f>
        <v>7.2394099999999995</v>
      </c>
      <c r="S61" s="316">
        <f t="shared" ref="S61" si="155">SUM(S44:S60)</f>
        <v>15.52853445</v>
      </c>
      <c r="T61" s="316">
        <f t="shared" ref="T61" si="156">SUM(T44:T60)</f>
        <v>21.501047700000004</v>
      </c>
      <c r="U61" s="316">
        <f t="shared" ref="U61" si="157">SUM(U44:U60)</f>
        <v>20.30654505</v>
      </c>
      <c r="V61" s="316">
        <f t="shared" ref="V61" si="158">SUM(V44:V60)</f>
        <v>2.9862566250000007</v>
      </c>
      <c r="W61" s="316">
        <f t="shared" ref="W61" si="159">SUM(W44:W60)</f>
        <v>0.597251325</v>
      </c>
      <c r="X61" s="316">
        <f t="shared" ref="X61:Y61" si="160">SUM(X44:X60)</f>
        <v>22.695550350000001</v>
      </c>
      <c r="Y61" s="316">
        <f t="shared" si="160"/>
        <v>31.057068900000001</v>
      </c>
      <c r="Z61" s="316">
        <f t="shared" ref="Z61" si="161">SUM(Z44:Z60)</f>
        <v>21.501047700000004</v>
      </c>
      <c r="AA61" s="316">
        <f t="shared" ref="AA61" si="162">SUM(AA44:AA60)</f>
        <v>0</v>
      </c>
      <c r="AB61" s="316">
        <f t="shared" ref="AB61" si="163">SUM(AB44:AB60)</f>
        <v>0</v>
      </c>
      <c r="AC61" s="316">
        <f t="shared" ref="AC61" si="164">SUM(AC44:AC60)</f>
        <v>178.95821520000001</v>
      </c>
      <c r="AD61" s="316">
        <f t="shared" ref="AD61:AE61" si="165">SUM(AD44:AD60)</f>
        <v>345.60943339999994</v>
      </c>
      <c r="AE61" s="316">
        <f t="shared" si="165"/>
        <v>211.57175724999999</v>
      </c>
      <c r="AF61" s="316">
        <f t="shared" ref="AF61" si="166">SUM(AF44:AF60)</f>
        <v>33.210793374999994</v>
      </c>
      <c r="AG61" s="316">
        <f t="shared" ref="AG61" si="167">SUM(AG44:AG60)</f>
        <v>6.642158675000001</v>
      </c>
      <c r="AH61" s="322">
        <f t="shared" ref="AH61" si="168">SUM(AH44:AH60)</f>
        <v>3797.8323000000009</v>
      </c>
      <c r="AI61" s="322">
        <f t="shared" ref="AI61" si="169">SUM(AI44:AI60)</f>
        <v>6962.6925500000007</v>
      </c>
      <c r="AJ61" s="322">
        <f t="shared" ref="AJ61" si="170">SUM(AJ44:AJ60)</f>
        <v>4430.8043500000003</v>
      </c>
      <c r="AK61" s="322">
        <f t="shared" ref="AK61" si="171">SUM(AK44:AK60)</f>
        <v>632.97204999999997</v>
      </c>
      <c r="AL61" s="322">
        <f t="shared" ref="AL61" si="172">SUM(AL44:AL60)</f>
        <v>126.59441000000002</v>
      </c>
      <c r="AM61" s="322"/>
      <c r="AN61" s="322"/>
      <c r="AO61" s="322"/>
      <c r="AP61" s="322"/>
      <c r="AQ61" s="322"/>
      <c r="AR61" s="322">
        <f t="shared" ref="AR61" si="173">SUM(AR44:AR60)</f>
        <v>3432.0247510050003</v>
      </c>
      <c r="AS61" s="322">
        <f t="shared" ref="AS61" si="174">SUM(AS44:AS60)</f>
        <v>5238.1451982750013</v>
      </c>
      <c r="AT61" s="322">
        <f t="shared" ref="AT61" si="175">SUM(AT44:AT60)</f>
        <v>4005.999805545001</v>
      </c>
      <c r="AU61" s="322">
        <f t="shared" ref="AU61" si="176">SUM(AU44:AU60)</f>
        <v>382.26192036250001</v>
      </c>
      <c r="AV61" s="322">
        <f t="shared" ref="AV61" si="177">SUM(AV44:AV60)</f>
        <v>76.452384072499996</v>
      </c>
      <c r="AW61" s="322">
        <f t="shared" ref="AW61" si="178">SUM(AW44:AW60)</f>
        <v>381.3360834450001</v>
      </c>
      <c r="AX61" s="322">
        <f t="shared" ref="AX61" si="179">SUM(AX44:AX60)</f>
        <v>1746.0483994250003</v>
      </c>
      <c r="AY61" s="322">
        <f t="shared" ref="AY61" si="180">SUM(AY44:AY60)</f>
        <v>445.11108950499971</v>
      </c>
      <c r="AZ61" s="322">
        <f t="shared" ref="AZ61" si="181">SUM(AZ44:AZ60)</f>
        <v>253.69638626249997</v>
      </c>
      <c r="BA61" s="322">
        <f t="shared" ref="BA61" si="182">SUM(BA44:BA60)</f>
        <v>50.739277252500003</v>
      </c>
      <c r="BB61" s="328">
        <f t="shared" ref="BB61:BC61" si="183">SUM(BB44:BB60)</f>
        <v>4015.0145999999995</v>
      </c>
      <c r="BC61" s="328">
        <f t="shared" si="183"/>
        <v>7360.860099999999</v>
      </c>
      <c r="BD61" s="328">
        <f t="shared" ref="BD61" si="184">SUM(BD44:BD60)</f>
        <v>4684.1837000000014</v>
      </c>
      <c r="BE61" s="328">
        <f t="shared" ref="BE61" si="185">SUM(BE44:BE60)</f>
        <v>669.16910000000018</v>
      </c>
      <c r="BF61" s="328">
        <f t="shared" ref="BF61" si="186">SUM(BF44:BF60)</f>
        <v>133.83381999999997</v>
      </c>
      <c r="BG61" s="328">
        <f t="shared" ref="BG61" si="187">SUM(BG44:BG60)</f>
        <v>560.29429864499991</v>
      </c>
      <c r="BH61" s="328">
        <f t="shared" ref="BH61" si="188">SUM(BH44:BH60)</f>
        <v>2091.6578328250002</v>
      </c>
      <c r="BI61" s="328">
        <f t="shared" ref="BI61" si="189">SUM(BI44:BI60)</f>
        <v>656.6828467549999</v>
      </c>
      <c r="BJ61" s="328">
        <f t="shared" ref="BJ61" si="190">SUM(BJ44:BJ60)</f>
        <v>286.90717963749995</v>
      </c>
      <c r="BK61" s="328">
        <f t="shared" ref="BK61" si="191">SUM(BK44:BK60)</f>
        <v>57.381435927500007</v>
      </c>
      <c r="BL61" s="328">
        <f t="shared" ref="BL61" si="192">SUM(BL44:BL60)</f>
        <v>3454.7203013549997</v>
      </c>
      <c r="BM61" s="328">
        <f t="shared" ref="BM61" si="193">SUM(BM44:BM60)</f>
        <v>5269.202267175001</v>
      </c>
      <c r="BN61" s="328">
        <f t="shared" ref="BN61" si="194">SUM(BN44:BN60)</f>
        <v>4027.5008532450015</v>
      </c>
      <c r="BO61" s="328">
        <f t="shared" ref="BO61" si="195">SUM(BO44:BO60)</f>
        <v>382.26192036250001</v>
      </c>
      <c r="BP61" s="328">
        <f t="shared" ref="BP61" si="196">SUM(BP44:BP60)</f>
        <v>76.452384072499996</v>
      </c>
      <c r="BQ61" s="348"/>
      <c r="BR61" s="349"/>
    </row>
    <row r="62" spans="1:71" ht="19.5" thickBot="1" x14ac:dyDescent="0.35">
      <c r="A62" s="302"/>
      <c r="B62" s="459" t="s">
        <v>354</v>
      </c>
      <c r="C62" s="460"/>
      <c r="D62" s="460"/>
      <c r="E62" s="460"/>
      <c r="F62" s="460"/>
      <c r="G62" s="460"/>
      <c r="H62" s="460"/>
      <c r="I62" s="461"/>
      <c r="J62" s="122"/>
      <c r="K62" s="351"/>
      <c r="L62" s="124"/>
      <c r="M62" s="125"/>
      <c r="N62" s="129"/>
      <c r="O62" s="182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81"/>
      <c r="AD62" s="181"/>
      <c r="AE62" s="181"/>
      <c r="AF62" s="181"/>
      <c r="AG62" s="181"/>
      <c r="AH62" s="134"/>
      <c r="AI62" s="135"/>
      <c r="AJ62" s="135"/>
      <c r="AK62" s="135"/>
      <c r="AL62" s="135"/>
      <c r="AM62" s="136"/>
      <c r="AN62" s="136"/>
      <c r="AO62" s="136"/>
      <c r="AP62" s="136"/>
      <c r="AQ62" s="136"/>
      <c r="AR62" s="135"/>
      <c r="AS62" s="135"/>
      <c r="AT62" s="135"/>
      <c r="AU62" s="135"/>
      <c r="AV62" s="135"/>
      <c r="AW62" s="135"/>
      <c r="AX62" s="135"/>
      <c r="AY62" s="135"/>
      <c r="AZ62" s="135"/>
      <c r="BA62" s="137"/>
      <c r="BB62" s="143"/>
      <c r="BC62" s="144"/>
      <c r="BD62" s="144"/>
      <c r="BE62" s="285"/>
      <c r="BF62" s="285"/>
      <c r="BG62" s="144"/>
      <c r="BH62" s="144"/>
      <c r="BI62" s="144"/>
      <c r="BJ62" s="285"/>
      <c r="BK62" s="285"/>
      <c r="BL62" s="144"/>
      <c r="BM62" s="144"/>
      <c r="BN62" s="144"/>
      <c r="BO62" s="285"/>
      <c r="BP62" s="286"/>
      <c r="BQ62" s="33"/>
      <c r="BR62" s="8"/>
    </row>
    <row r="63" spans="1:71" x14ac:dyDescent="0.25">
      <c r="A63" s="52"/>
      <c r="B63" s="52">
        <v>4</v>
      </c>
      <c r="C63" s="53" t="s">
        <v>48</v>
      </c>
      <c r="D63" s="118">
        <v>63534</v>
      </c>
      <c r="E63" s="103" t="s">
        <v>191</v>
      </c>
      <c r="F63" s="36" t="s">
        <v>255</v>
      </c>
      <c r="G63" s="110">
        <v>60585</v>
      </c>
      <c r="H63" s="110">
        <v>5049</v>
      </c>
      <c r="I63" s="107">
        <f t="shared" si="54"/>
        <v>65634</v>
      </c>
      <c r="J63" s="98">
        <f t="shared" si="55"/>
        <v>0.90325988280927627</v>
      </c>
      <c r="K63" s="99">
        <v>54724</v>
      </c>
      <c r="L63" s="94">
        <f t="shared" si="56"/>
        <v>9.6740117190723771E-2</v>
      </c>
      <c r="M63" s="89">
        <f t="shared" si="57"/>
        <v>5861</v>
      </c>
      <c r="N63" s="91">
        <f t="shared" si="58"/>
        <v>128.35589999999999</v>
      </c>
      <c r="O63" s="182">
        <f t="shared" si="59"/>
        <v>235.31915000000001</v>
      </c>
      <c r="P63" s="130">
        <f t="shared" si="60"/>
        <v>149.74854999999999</v>
      </c>
      <c r="Q63" s="130">
        <f t="shared" si="61"/>
        <v>21.39265</v>
      </c>
      <c r="R63" s="64">
        <f t="shared" si="62"/>
        <v>4.2785299999999999</v>
      </c>
      <c r="S63" s="130">
        <f t="shared" si="63"/>
        <v>9.1774468500000008</v>
      </c>
      <c r="T63" s="130">
        <f t="shared" si="64"/>
        <v>12.707234100000001</v>
      </c>
      <c r="U63" s="130">
        <f t="shared" si="65"/>
        <v>12.001276650000001</v>
      </c>
      <c r="V63" s="130">
        <f t="shared" si="66"/>
        <v>1.764893625</v>
      </c>
      <c r="W63" s="130">
        <f t="shared" si="67"/>
        <v>0.35297872499999999</v>
      </c>
      <c r="X63" s="130">
        <f t="shared" si="68"/>
        <v>13.413191550000001</v>
      </c>
      <c r="Y63" s="130">
        <f t="shared" si="69"/>
        <v>18.354893700000002</v>
      </c>
      <c r="Z63" s="130">
        <f t="shared" si="70"/>
        <v>12.707234100000001</v>
      </c>
      <c r="AA63" s="130">
        <f t="shared" si="71"/>
        <v>0</v>
      </c>
      <c r="AB63" s="130">
        <f t="shared" si="72"/>
        <v>0</v>
      </c>
      <c r="AC63" s="181">
        <f t="shared" si="73"/>
        <v>105.7652616</v>
      </c>
      <c r="AD63" s="181">
        <f t="shared" si="74"/>
        <v>204.25702220000002</v>
      </c>
      <c r="AE63" s="181">
        <f t="shared" si="75"/>
        <v>125.04003925000001</v>
      </c>
      <c r="AF63" s="181">
        <f t="shared" si="76"/>
        <v>19.627756375000001</v>
      </c>
      <c r="AG63" s="181">
        <f t="shared" si="77"/>
        <v>3.9255512750000001</v>
      </c>
      <c r="AH63" s="85">
        <f t="shared" si="78"/>
        <v>1309.0287000000001</v>
      </c>
      <c r="AI63" s="135">
        <f t="shared" si="79"/>
        <v>2399.8859499999999</v>
      </c>
      <c r="AJ63" s="135">
        <f t="shared" si="80"/>
        <v>1527.2001499999999</v>
      </c>
      <c r="AK63" s="135">
        <f t="shared" si="81"/>
        <v>218.17144999999999</v>
      </c>
      <c r="AL63" s="65">
        <f t="shared" si="82"/>
        <v>43.63429</v>
      </c>
      <c r="AM63" s="66">
        <v>0.9</v>
      </c>
      <c r="AN63" s="66">
        <v>0.75</v>
      </c>
      <c r="AO63" s="66">
        <v>0.9</v>
      </c>
      <c r="AP63" s="66">
        <v>0.8</v>
      </c>
      <c r="AQ63" s="66">
        <v>0.8</v>
      </c>
      <c r="AR63" s="65">
        <f t="shared" si="83"/>
        <v>1186.3855321650001</v>
      </c>
      <c r="AS63" s="65">
        <f t="shared" si="84"/>
        <v>1809.4448880749997</v>
      </c>
      <c r="AT63" s="65">
        <f t="shared" si="85"/>
        <v>1385.2812839849998</v>
      </c>
      <c r="AU63" s="65">
        <f t="shared" si="86"/>
        <v>175.94907490000003</v>
      </c>
      <c r="AV63" s="65">
        <f t="shared" si="87"/>
        <v>35.189814980000001</v>
      </c>
      <c r="AW63" s="65">
        <f t="shared" si="88"/>
        <v>131.82061468500001</v>
      </c>
      <c r="AX63" s="65">
        <f t="shared" si="89"/>
        <v>603.14829602500004</v>
      </c>
      <c r="AY63" s="65">
        <f t="shared" si="90"/>
        <v>153.92014266499996</v>
      </c>
      <c r="AZ63" s="65">
        <f t="shared" si="91"/>
        <v>43.987268724999979</v>
      </c>
      <c r="BA63" s="86">
        <f t="shared" si="92"/>
        <v>8.7974537449999985</v>
      </c>
      <c r="BB63" s="83">
        <f t="shared" si="93"/>
        <v>1437.3846000000001</v>
      </c>
      <c r="BC63" s="67">
        <f t="shared" si="94"/>
        <v>2635.2050999999997</v>
      </c>
      <c r="BD63" s="67">
        <f t="shared" si="95"/>
        <v>1676.9486999999999</v>
      </c>
      <c r="BE63" s="68">
        <f t="shared" si="96"/>
        <v>239.5641</v>
      </c>
      <c r="BF63" s="68">
        <f t="shared" si="97"/>
        <v>47.912819999999996</v>
      </c>
      <c r="BG63" s="67">
        <f t="shared" si="98"/>
        <v>237.58587628500001</v>
      </c>
      <c r="BH63" s="67">
        <f t="shared" si="99"/>
        <v>807.40531822500009</v>
      </c>
      <c r="BI63" s="67">
        <f t="shared" si="100"/>
        <v>278.96018191499996</v>
      </c>
      <c r="BJ63" s="68">
        <f t="shared" si="101"/>
        <v>63.615025099999983</v>
      </c>
      <c r="BK63" s="68">
        <f t="shared" si="102"/>
        <v>12.723005019999999</v>
      </c>
      <c r="BL63" s="67">
        <f t="shared" si="103"/>
        <v>1199.7987237150001</v>
      </c>
      <c r="BM63" s="67">
        <f t="shared" si="104"/>
        <v>1827.7997817749997</v>
      </c>
      <c r="BN63" s="67">
        <f t="shared" si="105"/>
        <v>1397.9885180849999</v>
      </c>
      <c r="BO63" s="68">
        <f t="shared" si="106"/>
        <v>175.94907490000003</v>
      </c>
      <c r="BP63" s="76">
        <f t="shared" si="107"/>
        <v>35.189814980000001</v>
      </c>
      <c r="BQ63" s="33">
        <v>5629576</v>
      </c>
      <c r="BR63" s="8">
        <v>1454456</v>
      </c>
      <c r="BS63" t="s">
        <v>129</v>
      </c>
    </row>
    <row r="64" spans="1:71" x14ac:dyDescent="0.25">
      <c r="A64" s="52"/>
      <c r="B64" s="52">
        <v>5</v>
      </c>
      <c r="C64" s="53" t="s">
        <v>49</v>
      </c>
      <c r="D64" s="118">
        <v>56307</v>
      </c>
      <c r="E64" s="103" t="s">
        <v>4</v>
      </c>
      <c r="F64" s="36" t="s">
        <v>255</v>
      </c>
      <c r="G64" s="110">
        <v>55377</v>
      </c>
      <c r="H64" s="111">
        <v>0</v>
      </c>
      <c r="I64" s="107">
        <f t="shared" si="54"/>
        <v>55377</v>
      </c>
      <c r="J64" s="98">
        <v>0.79</v>
      </c>
      <c r="K64" s="99">
        <f>ROUND(G64*J64,0)</f>
        <v>43748</v>
      </c>
      <c r="L64" s="94">
        <f>1-J64</f>
        <v>0.20999999999999996</v>
      </c>
      <c r="M64" s="89">
        <f>ROUND(G64*L64,0)</f>
        <v>11629</v>
      </c>
      <c r="N64" s="91">
        <f t="shared" si="58"/>
        <v>254.67509999999999</v>
      </c>
      <c r="O64" s="182">
        <f t="shared" si="59"/>
        <v>466.90435000000002</v>
      </c>
      <c r="P64" s="130">
        <f t="shared" si="60"/>
        <v>297.12094999999999</v>
      </c>
      <c r="Q64" s="130">
        <f t="shared" si="61"/>
        <v>42.44585</v>
      </c>
      <c r="R64" s="64">
        <f t="shared" si="62"/>
        <v>8.4891699999999997</v>
      </c>
      <c r="S64" s="130">
        <f t="shared" si="63"/>
        <v>18.209269650000003</v>
      </c>
      <c r="T64" s="130">
        <f t="shared" si="64"/>
        <v>25.212834900000001</v>
      </c>
      <c r="U64" s="130">
        <f t="shared" si="65"/>
        <v>23.81212185</v>
      </c>
      <c r="V64" s="130">
        <f t="shared" si="66"/>
        <v>3.5017826250000001</v>
      </c>
      <c r="W64" s="130">
        <f t="shared" si="67"/>
        <v>0.70035652500000001</v>
      </c>
      <c r="X64" s="130">
        <f t="shared" si="68"/>
        <v>26.613547950000001</v>
      </c>
      <c r="Y64" s="130">
        <f t="shared" si="69"/>
        <v>36.418539300000006</v>
      </c>
      <c r="Z64" s="130">
        <f t="shared" si="70"/>
        <v>25.212834900000001</v>
      </c>
      <c r="AA64" s="130">
        <f t="shared" si="71"/>
        <v>0</v>
      </c>
      <c r="AB64" s="130">
        <f t="shared" si="72"/>
        <v>0</v>
      </c>
      <c r="AC64" s="181">
        <f t="shared" si="73"/>
        <v>209.85228239999998</v>
      </c>
      <c r="AD64" s="181">
        <f t="shared" si="74"/>
        <v>405.27297579999998</v>
      </c>
      <c r="AE64" s="181">
        <f t="shared" si="75"/>
        <v>248.09599325000002</v>
      </c>
      <c r="AF64" s="181">
        <f t="shared" si="76"/>
        <v>38.944067375000003</v>
      </c>
      <c r="AG64" s="181">
        <f t="shared" si="77"/>
        <v>7.7888134749999995</v>
      </c>
      <c r="AH64" s="85">
        <f t="shared" si="78"/>
        <v>958.08119999999997</v>
      </c>
      <c r="AI64" s="135">
        <f t="shared" si="79"/>
        <v>1756.4821999999999</v>
      </c>
      <c r="AJ64" s="135">
        <f t="shared" si="80"/>
        <v>1117.7614000000001</v>
      </c>
      <c r="AK64" s="135">
        <f t="shared" si="81"/>
        <v>159.68020000000001</v>
      </c>
      <c r="AL64" s="65">
        <f t="shared" si="82"/>
        <v>31.936039999999998</v>
      </c>
      <c r="AM64" s="66">
        <v>0.9</v>
      </c>
      <c r="AN64" s="66">
        <v>0.75</v>
      </c>
      <c r="AO64" s="66">
        <v>0.9</v>
      </c>
      <c r="AP64" s="66">
        <v>0.8</v>
      </c>
      <c r="AQ64" s="66">
        <v>0.8</v>
      </c>
      <c r="AR64" s="65">
        <f t="shared" si="83"/>
        <v>878.66142268500005</v>
      </c>
      <c r="AS64" s="65">
        <f t="shared" si="84"/>
        <v>1336.2712761749999</v>
      </c>
      <c r="AT64" s="65">
        <f t="shared" si="85"/>
        <v>1027.4161696650001</v>
      </c>
      <c r="AU64" s="65">
        <f t="shared" si="86"/>
        <v>130.54558610000001</v>
      </c>
      <c r="AV64" s="65">
        <f t="shared" si="87"/>
        <v>26.109117219999998</v>
      </c>
      <c r="AW64" s="65">
        <f t="shared" si="88"/>
        <v>97.62904696499993</v>
      </c>
      <c r="AX64" s="65">
        <f t="shared" si="89"/>
        <v>445.42375872499997</v>
      </c>
      <c r="AY64" s="65">
        <f t="shared" si="90"/>
        <v>114.15735218500004</v>
      </c>
      <c r="AZ64" s="65">
        <f t="shared" si="91"/>
        <v>32.636396525000009</v>
      </c>
      <c r="BA64" s="86">
        <f t="shared" si="92"/>
        <v>6.5272793049999969</v>
      </c>
      <c r="BB64" s="83">
        <f t="shared" si="93"/>
        <v>1212.7563</v>
      </c>
      <c r="BC64" s="67">
        <f t="shared" si="94"/>
        <v>2223.3865500000002</v>
      </c>
      <c r="BD64" s="67">
        <f t="shared" si="95"/>
        <v>1414.8823500000001</v>
      </c>
      <c r="BE64" s="68">
        <f t="shared" si="96"/>
        <v>202.12605000000002</v>
      </c>
      <c r="BF64" s="68">
        <f t="shared" si="97"/>
        <v>40.42521</v>
      </c>
      <c r="BG64" s="67">
        <f t="shared" si="98"/>
        <v>307.48132936499991</v>
      </c>
      <c r="BH64" s="67">
        <f t="shared" si="99"/>
        <v>850.69673452500001</v>
      </c>
      <c r="BI64" s="67">
        <f t="shared" si="100"/>
        <v>362.25334543500003</v>
      </c>
      <c r="BJ64" s="68">
        <f t="shared" si="101"/>
        <v>71.580463900000012</v>
      </c>
      <c r="BK64" s="68">
        <f t="shared" si="102"/>
        <v>14.316092779999996</v>
      </c>
      <c r="BL64" s="67">
        <f t="shared" si="103"/>
        <v>905.27497063500005</v>
      </c>
      <c r="BM64" s="67">
        <f t="shared" si="104"/>
        <v>1372.6898154749999</v>
      </c>
      <c r="BN64" s="67">
        <f t="shared" si="105"/>
        <v>1052.6290045650001</v>
      </c>
      <c r="BO64" s="68">
        <f t="shared" si="106"/>
        <v>130.54558610000001</v>
      </c>
      <c r="BP64" s="76">
        <f t="shared" si="107"/>
        <v>26.109117219999998</v>
      </c>
      <c r="BQ64" s="33">
        <v>30926520</v>
      </c>
      <c r="BR64" s="8"/>
      <c r="BS64" t="s">
        <v>136</v>
      </c>
    </row>
    <row r="65" spans="1:72" x14ac:dyDescent="0.25">
      <c r="A65" s="55"/>
      <c r="B65" s="55">
        <v>14</v>
      </c>
      <c r="C65" s="121" t="s">
        <v>57</v>
      </c>
      <c r="D65" s="119">
        <v>11734</v>
      </c>
      <c r="E65" s="116" t="s">
        <v>190</v>
      </c>
      <c r="F65" s="41" t="s">
        <v>255</v>
      </c>
      <c r="G65" s="112">
        <v>13200</v>
      </c>
      <c r="H65" s="112">
        <v>6294</v>
      </c>
      <c r="I65" s="107">
        <f t="shared" si="54"/>
        <v>19494</v>
      </c>
      <c r="J65" s="98">
        <f t="shared" ref="J65:J103" si="197">K65/G65</f>
        <v>1</v>
      </c>
      <c r="K65" s="100">
        <v>13200</v>
      </c>
      <c r="L65" s="94">
        <f t="shared" ref="L65:L103" si="198">M65/G65</f>
        <v>0</v>
      </c>
      <c r="M65" s="89">
        <f t="shared" ref="M65:M103" si="199">G65-K65</f>
        <v>0</v>
      </c>
      <c r="N65" s="91">
        <f t="shared" si="58"/>
        <v>0</v>
      </c>
      <c r="O65" s="182">
        <f t="shared" si="59"/>
        <v>0</v>
      </c>
      <c r="P65" s="130">
        <f t="shared" si="60"/>
        <v>0</v>
      </c>
      <c r="Q65" s="130">
        <f t="shared" si="61"/>
        <v>0</v>
      </c>
      <c r="R65" s="64">
        <f t="shared" si="62"/>
        <v>0</v>
      </c>
      <c r="S65" s="130">
        <f t="shared" si="63"/>
        <v>0</v>
      </c>
      <c r="T65" s="130">
        <f t="shared" si="64"/>
        <v>0</v>
      </c>
      <c r="U65" s="130">
        <f t="shared" si="65"/>
        <v>0</v>
      </c>
      <c r="V65" s="130">
        <f t="shared" si="66"/>
        <v>0</v>
      </c>
      <c r="W65" s="130">
        <f t="shared" si="67"/>
        <v>0</v>
      </c>
      <c r="X65" s="130">
        <f t="shared" si="68"/>
        <v>0</v>
      </c>
      <c r="Y65" s="130">
        <f t="shared" si="69"/>
        <v>0</v>
      </c>
      <c r="Z65" s="130">
        <f t="shared" si="70"/>
        <v>0</v>
      </c>
      <c r="AA65" s="130">
        <f t="shared" si="71"/>
        <v>0</v>
      </c>
      <c r="AB65" s="130">
        <f t="shared" si="72"/>
        <v>0</v>
      </c>
      <c r="AC65" s="181">
        <f t="shared" si="73"/>
        <v>0</v>
      </c>
      <c r="AD65" s="181">
        <f t="shared" si="74"/>
        <v>0</v>
      </c>
      <c r="AE65" s="181">
        <f t="shared" si="75"/>
        <v>0</v>
      </c>
      <c r="AF65" s="181">
        <f t="shared" si="76"/>
        <v>0</v>
      </c>
      <c r="AG65" s="181">
        <f t="shared" si="77"/>
        <v>0</v>
      </c>
      <c r="AH65" s="85">
        <f t="shared" si="78"/>
        <v>426.91860000000003</v>
      </c>
      <c r="AI65" s="135">
        <f t="shared" si="79"/>
        <v>782.68409999999994</v>
      </c>
      <c r="AJ65" s="135">
        <f t="shared" si="80"/>
        <v>498.07170000000002</v>
      </c>
      <c r="AK65" s="135">
        <f t="shared" si="81"/>
        <v>71.153099999999995</v>
      </c>
      <c r="AL65" s="65">
        <f t="shared" si="82"/>
        <v>14.23062</v>
      </c>
      <c r="AM65" s="66">
        <v>0.9</v>
      </c>
      <c r="AN65" s="66">
        <v>0.75</v>
      </c>
      <c r="AO65" s="66">
        <v>0.9</v>
      </c>
      <c r="AP65" s="66">
        <v>0.8</v>
      </c>
      <c r="AQ65" s="66">
        <v>0.8</v>
      </c>
      <c r="AR65" s="65">
        <f t="shared" si="83"/>
        <v>384.22674000000001</v>
      </c>
      <c r="AS65" s="65">
        <f t="shared" si="84"/>
        <v>587.01307499999996</v>
      </c>
      <c r="AT65" s="65">
        <f t="shared" si="85"/>
        <v>448.26453000000004</v>
      </c>
      <c r="AU65" s="65">
        <f t="shared" si="86"/>
        <v>56.92248</v>
      </c>
      <c r="AV65" s="65">
        <f t="shared" si="87"/>
        <v>11.384496</v>
      </c>
      <c r="AW65" s="65">
        <f t="shared" si="88"/>
        <v>42.69186000000002</v>
      </c>
      <c r="AX65" s="65">
        <f t="shared" si="89"/>
        <v>195.67102499999999</v>
      </c>
      <c r="AY65" s="65">
        <f t="shared" si="90"/>
        <v>49.807169999999985</v>
      </c>
      <c r="AZ65" s="65">
        <f t="shared" si="91"/>
        <v>14.230619999999995</v>
      </c>
      <c r="BA65" s="86">
        <f t="shared" si="92"/>
        <v>2.8461239999999997</v>
      </c>
      <c r="BB65" s="83">
        <f t="shared" si="93"/>
        <v>426.91860000000003</v>
      </c>
      <c r="BC65" s="67">
        <f t="shared" si="94"/>
        <v>782.68409999999994</v>
      </c>
      <c r="BD65" s="67">
        <f t="shared" si="95"/>
        <v>498.07170000000002</v>
      </c>
      <c r="BE65" s="68">
        <f t="shared" si="96"/>
        <v>71.153099999999995</v>
      </c>
      <c r="BF65" s="68">
        <f t="shared" si="97"/>
        <v>14.23062</v>
      </c>
      <c r="BG65" s="67">
        <f t="shared" si="98"/>
        <v>42.69186000000002</v>
      </c>
      <c r="BH65" s="67">
        <f t="shared" si="99"/>
        <v>195.67102499999999</v>
      </c>
      <c r="BI65" s="67">
        <f t="shared" si="100"/>
        <v>49.807169999999985</v>
      </c>
      <c r="BJ65" s="68">
        <f t="shared" si="101"/>
        <v>14.230619999999995</v>
      </c>
      <c r="BK65" s="68">
        <f t="shared" si="102"/>
        <v>2.8461239999999997</v>
      </c>
      <c r="BL65" s="67">
        <f t="shared" si="103"/>
        <v>384.22674000000001</v>
      </c>
      <c r="BM65" s="67">
        <f t="shared" si="104"/>
        <v>587.01307499999996</v>
      </c>
      <c r="BN65" s="67">
        <f t="shared" si="105"/>
        <v>448.26453000000004</v>
      </c>
      <c r="BO65" s="68">
        <f t="shared" si="106"/>
        <v>56.92248</v>
      </c>
      <c r="BP65" s="76">
        <f t="shared" si="107"/>
        <v>11.384496</v>
      </c>
      <c r="BQ65" s="33">
        <v>0</v>
      </c>
      <c r="BR65" s="8">
        <v>0</v>
      </c>
      <c r="BS65" s="3"/>
      <c r="BT65" s="3"/>
    </row>
    <row r="66" spans="1:72" x14ac:dyDescent="0.25">
      <c r="A66" s="52"/>
      <c r="B66" s="52">
        <v>18</v>
      </c>
      <c r="C66" s="53" t="s">
        <v>61</v>
      </c>
      <c r="D66" s="118">
        <v>10071</v>
      </c>
      <c r="E66" s="103" t="s">
        <v>137</v>
      </c>
      <c r="F66" s="36" t="s">
        <v>255</v>
      </c>
      <c r="G66" s="110">
        <v>12548</v>
      </c>
      <c r="H66" s="111">
        <v>945</v>
      </c>
      <c r="I66" s="107">
        <f t="shared" si="54"/>
        <v>13493</v>
      </c>
      <c r="J66" s="98">
        <f t="shared" si="197"/>
        <v>0.96971628944851773</v>
      </c>
      <c r="K66" s="99">
        <v>12168</v>
      </c>
      <c r="L66" s="94">
        <f t="shared" si="198"/>
        <v>3.028371055148231E-2</v>
      </c>
      <c r="M66" s="89">
        <f t="shared" si="199"/>
        <v>380</v>
      </c>
      <c r="N66" s="91">
        <f t="shared" si="58"/>
        <v>8.3219999999999992</v>
      </c>
      <c r="O66" s="182">
        <f t="shared" si="59"/>
        <v>15.257</v>
      </c>
      <c r="P66" s="130">
        <f t="shared" si="60"/>
        <v>9.7089999999999996</v>
      </c>
      <c r="Q66" s="130">
        <f t="shared" si="61"/>
        <v>1.387</v>
      </c>
      <c r="R66" s="64">
        <f t="shared" si="62"/>
        <v>0.27739999999999998</v>
      </c>
      <c r="S66" s="130">
        <f t="shared" si="63"/>
        <v>0.59502299999999997</v>
      </c>
      <c r="T66" s="130">
        <f t="shared" si="64"/>
        <v>0.823878</v>
      </c>
      <c r="U66" s="130">
        <f t="shared" si="65"/>
        <v>0.77810699999999999</v>
      </c>
      <c r="V66" s="130">
        <f t="shared" si="66"/>
        <v>0.1144275</v>
      </c>
      <c r="W66" s="130">
        <f t="shared" si="67"/>
        <v>2.28855E-2</v>
      </c>
      <c r="X66" s="130">
        <f t="shared" si="68"/>
        <v>0.86964900000000001</v>
      </c>
      <c r="Y66" s="130">
        <f t="shared" si="69"/>
        <v>1.1900459999999999</v>
      </c>
      <c r="Z66" s="130">
        <f t="shared" si="70"/>
        <v>0.823878</v>
      </c>
      <c r="AA66" s="130">
        <f t="shared" si="71"/>
        <v>0</v>
      </c>
      <c r="AB66" s="130">
        <f t="shared" si="72"/>
        <v>0</v>
      </c>
      <c r="AC66" s="181">
        <f t="shared" si="73"/>
        <v>6.857327999999999</v>
      </c>
      <c r="AD66" s="181">
        <f t="shared" si="74"/>
        <v>13.243075999999999</v>
      </c>
      <c r="AE66" s="181">
        <f t="shared" si="75"/>
        <v>8.1070149999999988</v>
      </c>
      <c r="AF66" s="181">
        <f t="shared" si="76"/>
        <v>1.2725725000000001</v>
      </c>
      <c r="AG66" s="181">
        <f t="shared" si="77"/>
        <v>0.25451449999999998</v>
      </c>
      <c r="AH66" s="85">
        <f t="shared" si="78"/>
        <v>287.17469999999997</v>
      </c>
      <c r="AI66" s="135">
        <f t="shared" si="79"/>
        <v>526.48694999999998</v>
      </c>
      <c r="AJ66" s="135">
        <f t="shared" si="80"/>
        <v>335.03715</v>
      </c>
      <c r="AK66" s="135">
        <f t="shared" si="81"/>
        <v>47.862450000000003</v>
      </c>
      <c r="AL66" s="65">
        <f t="shared" si="82"/>
        <v>9.5724900000000002</v>
      </c>
      <c r="AM66" s="66">
        <v>0.9</v>
      </c>
      <c r="AN66" s="66">
        <v>0.75</v>
      </c>
      <c r="AO66" s="66">
        <v>0.9</v>
      </c>
      <c r="AP66" s="66">
        <v>0.8</v>
      </c>
      <c r="AQ66" s="66">
        <v>0.8</v>
      </c>
      <c r="AR66" s="65">
        <f t="shared" si="83"/>
        <v>258.99275069999999</v>
      </c>
      <c r="AS66" s="65">
        <f t="shared" si="84"/>
        <v>395.48312099999998</v>
      </c>
      <c r="AT66" s="65">
        <f t="shared" si="85"/>
        <v>302.23373129999999</v>
      </c>
      <c r="AU66" s="65">
        <f t="shared" si="86"/>
        <v>38.381502000000005</v>
      </c>
      <c r="AV66" s="65">
        <f t="shared" si="87"/>
        <v>7.6763003999999997</v>
      </c>
      <c r="AW66" s="65">
        <f t="shared" si="88"/>
        <v>28.776972300000011</v>
      </c>
      <c r="AX66" s="65">
        <f t="shared" si="89"/>
        <v>131.82770700000003</v>
      </c>
      <c r="AY66" s="65">
        <f t="shared" si="90"/>
        <v>33.581525699999986</v>
      </c>
      <c r="AZ66" s="65">
        <f t="shared" si="91"/>
        <v>9.5953754999999958</v>
      </c>
      <c r="BA66" s="86">
        <f t="shared" si="92"/>
        <v>1.9190750999999997</v>
      </c>
      <c r="BB66" s="83">
        <f t="shared" si="93"/>
        <v>295.49669999999998</v>
      </c>
      <c r="BC66" s="67">
        <f t="shared" si="94"/>
        <v>541.74394999999993</v>
      </c>
      <c r="BD66" s="67">
        <f t="shared" si="95"/>
        <v>344.74615</v>
      </c>
      <c r="BE66" s="68">
        <f t="shared" si="96"/>
        <v>49.249450000000003</v>
      </c>
      <c r="BF66" s="68">
        <f t="shared" si="97"/>
        <v>9.8498900000000003</v>
      </c>
      <c r="BG66" s="67">
        <f t="shared" si="98"/>
        <v>35.634300300000007</v>
      </c>
      <c r="BH66" s="67">
        <f t="shared" si="99"/>
        <v>145.07078300000003</v>
      </c>
      <c r="BI66" s="67">
        <f t="shared" si="100"/>
        <v>41.688540699999983</v>
      </c>
      <c r="BJ66" s="68">
        <f t="shared" si="101"/>
        <v>10.867947999999997</v>
      </c>
      <c r="BK66" s="68">
        <f t="shared" si="102"/>
        <v>2.1735895999999997</v>
      </c>
      <c r="BL66" s="67">
        <f t="shared" si="103"/>
        <v>259.86239969999997</v>
      </c>
      <c r="BM66" s="67">
        <f t="shared" si="104"/>
        <v>396.67316699999998</v>
      </c>
      <c r="BN66" s="67">
        <f t="shared" si="105"/>
        <v>303.05760929999997</v>
      </c>
      <c r="BO66" s="68">
        <f t="shared" si="106"/>
        <v>38.381502000000005</v>
      </c>
      <c r="BP66" s="76">
        <f t="shared" si="107"/>
        <v>7.6763003999999997</v>
      </c>
      <c r="BQ66" s="33">
        <v>936550</v>
      </c>
      <c r="BR66" s="8">
        <v>400000</v>
      </c>
      <c r="BS66" t="s">
        <v>129</v>
      </c>
    </row>
    <row r="67" spans="1:72" x14ac:dyDescent="0.25">
      <c r="A67" s="52"/>
      <c r="B67" s="52">
        <v>21</v>
      </c>
      <c r="C67" s="53" t="s">
        <v>63</v>
      </c>
      <c r="D67" s="118">
        <v>9250</v>
      </c>
      <c r="E67" s="103" t="s">
        <v>4</v>
      </c>
      <c r="F67" s="36" t="s">
        <v>255</v>
      </c>
      <c r="G67" s="110">
        <v>11170</v>
      </c>
      <c r="H67" s="110">
        <v>1367</v>
      </c>
      <c r="I67" s="107">
        <f t="shared" si="54"/>
        <v>12537</v>
      </c>
      <c r="J67" s="98">
        <f t="shared" si="197"/>
        <v>0.99328558639212172</v>
      </c>
      <c r="K67" s="99">
        <v>11095</v>
      </c>
      <c r="L67" s="94">
        <f t="shared" si="198"/>
        <v>6.7144136078782449E-3</v>
      </c>
      <c r="M67" s="89">
        <f t="shared" si="199"/>
        <v>75</v>
      </c>
      <c r="N67" s="91">
        <f t="shared" si="58"/>
        <v>1.6425000000000001</v>
      </c>
      <c r="O67" s="182">
        <f t="shared" si="59"/>
        <v>3.01125</v>
      </c>
      <c r="P67" s="130">
        <f t="shared" si="60"/>
        <v>1.91625</v>
      </c>
      <c r="Q67" s="130">
        <f t="shared" si="61"/>
        <v>0.27374999999999999</v>
      </c>
      <c r="R67" s="64">
        <f t="shared" si="62"/>
        <v>5.475E-2</v>
      </c>
      <c r="S67" s="130">
        <f t="shared" si="63"/>
        <v>0.11743875000000001</v>
      </c>
      <c r="T67" s="130">
        <f t="shared" si="64"/>
        <v>0.16260750000000002</v>
      </c>
      <c r="U67" s="130">
        <f t="shared" si="65"/>
        <v>0.15357375000000001</v>
      </c>
      <c r="V67" s="130">
        <f t="shared" si="66"/>
        <v>2.2584375E-2</v>
      </c>
      <c r="W67" s="130">
        <f t="shared" si="67"/>
        <v>4.5168750000000001E-3</v>
      </c>
      <c r="X67" s="130">
        <f t="shared" si="68"/>
        <v>0.17164125</v>
      </c>
      <c r="Y67" s="130">
        <f t="shared" si="69"/>
        <v>0.23487750000000002</v>
      </c>
      <c r="Z67" s="130">
        <f t="shared" si="70"/>
        <v>0.16260750000000002</v>
      </c>
      <c r="AA67" s="130">
        <f t="shared" si="71"/>
        <v>0</v>
      </c>
      <c r="AB67" s="130">
        <f t="shared" si="72"/>
        <v>0</v>
      </c>
      <c r="AC67" s="181">
        <f t="shared" si="73"/>
        <v>1.3534200000000001</v>
      </c>
      <c r="AD67" s="181">
        <f t="shared" si="74"/>
        <v>2.6137649999999999</v>
      </c>
      <c r="AE67" s="181">
        <f t="shared" si="75"/>
        <v>1.6000687499999999</v>
      </c>
      <c r="AF67" s="181">
        <f t="shared" si="76"/>
        <v>0.251165625</v>
      </c>
      <c r="AG67" s="181">
        <f t="shared" si="77"/>
        <v>5.0233125000000003E-2</v>
      </c>
      <c r="AH67" s="85">
        <f t="shared" si="78"/>
        <v>272.9178</v>
      </c>
      <c r="AI67" s="135">
        <f t="shared" si="79"/>
        <v>500.34930000000003</v>
      </c>
      <c r="AJ67" s="135">
        <f t="shared" si="80"/>
        <v>318.40410000000003</v>
      </c>
      <c r="AK67" s="135">
        <f t="shared" si="81"/>
        <v>45.4863</v>
      </c>
      <c r="AL67" s="65">
        <f t="shared" si="82"/>
        <v>9.0972600000000003</v>
      </c>
      <c r="AM67" s="66">
        <v>0.9</v>
      </c>
      <c r="AN67" s="66">
        <v>0.75</v>
      </c>
      <c r="AO67" s="66">
        <v>0.9</v>
      </c>
      <c r="AP67" s="66">
        <v>0.8</v>
      </c>
      <c r="AQ67" s="66">
        <v>0.8</v>
      </c>
      <c r="AR67" s="65">
        <f t="shared" si="83"/>
        <v>245.73171487500002</v>
      </c>
      <c r="AS67" s="65">
        <f t="shared" si="84"/>
        <v>375.383930625</v>
      </c>
      <c r="AT67" s="65">
        <f t="shared" si="85"/>
        <v>286.70190637500008</v>
      </c>
      <c r="AU67" s="65">
        <f t="shared" si="86"/>
        <v>36.407107500000002</v>
      </c>
      <c r="AV67" s="65">
        <f t="shared" si="87"/>
        <v>7.2814215000000004</v>
      </c>
      <c r="AW67" s="65">
        <f t="shared" si="88"/>
        <v>27.303523874999996</v>
      </c>
      <c r="AX67" s="65">
        <f t="shared" si="89"/>
        <v>125.127976875</v>
      </c>
      <c r="AY67" s="65">
        <f t="shared" si="90"/>
        <v>31.855767374999971</v>
      </c>
      <c r="AZ67" s="65">
        <f t="shared" si="91"/>
        <v>9.1017768749999988</v>
      </c>
      <c r="BA67" s="86">
        <f t="shared" si="92"/>
        <v>1.8203553750000001</v>
      </c>
      <c r="BB67" s="83">
        <f t="shared" si="93"/>
        <v>274.56029999999998</v>
      </c>
      <c r="BC67" s="67">
        <f t="shared" si="94"/>
        <v>503.36055000000005</v>
      </c>
      <c r="BD67" s="67">
        <f t="shared" si="95"/>
        <v>320.32035000000002</v>
      </c>
      <c r="BE67" s="68">
        <f t="shared" si="96"/>
        <v>45.76005</v>
      </c>
      <c r="BF67" s="68">
        <f t="shared" si="97"/>
        <v>9.1520100000000006</v>
      </c>
      <c r="BG67" s="67">
        <f t="shared" si="98"/>
        <v>28.656943874999996</v>
      </c>
      <c r="BH67" s="67">
        <f t="shared" si="99"/>
        <v>127.741741875</v>
      </c>
      <c r="BI67" s="67">
        <f t="shared" si="100"/>
        <v>33.455836124999969</v>
      </c>
      <c r="BJ67" s="68">
        <f t="shared" si="101"/>
        <v>9.3529424999999993</v>
      </c>
      <c r="BK67" s="68">
        <f t="shared" si="102"/>
        <v>1.8705885000000002</v>
      </c>
      <c r="BL67" s="67">
        <f t="shared" si="103"/>
        <v>245.90335612500002</v>
      </c>
      <c r="BM67" s="67">
        <f t="shared" si="104"/>
        <v>375.61880812499999</v>
      </c>
      <c r="BN67" s="67">
        <f t="shared" si="105"/>
        <v>286.86451387500006</v>
      </c>
      <c r="BO67" s="68">
        <f t="shared" si="106"/>
        <v>36.407107500000002</v>
      </c>
      <c r="BP67" s="76">
        <f t="shared" si="107"/>
        <v>7.2814215000000004</v>
      </c>
      <c r="BQ67" s="33">
        <v>54000</v>
      </c>
      <c r="BR67" s="8">
        <v>0</v>
      </c>
      <c r="BS67" t="s">
        <v>129</v>
      </c>
    </row>
    <row r="68" spans="1:72" x14ac:dyDescent="0.25">
      <c r="A68" s="52"/>
      <c r="B68" s="52">
        <v>33</v>
      </c>
      <c r="C68" s="53" t="s">
        <v>74</v>
      </c>
      <c r="D68" s="118">
        <v>6024</v>
      </c>
      <c r="E68" s="103" t="s">
        <v>74</v>
      </c>
      <c r="F68" s="36" t="s">
        <v>255</v>
      </c>
      <c r="G68" s="110">
        <v>5225</v>
      </c>
      <c r="H68" s="110">
        <v>837</v>
      </c>
      <c r="I68" s="107">
        <f t="shared" si="54"/>
        <v>6062</v>
      </c>
      <c r="J68" s="98">
        <f t="shared" si="197"/>
        <v>0.65052631578947373</v>
      </c>
      <c r="K68" s="99">
        <v>3399</v>
      </c>
      <c r="L68" s="94">
        <f t="shared" si="198"/>
        <v>0.34947368421052633</v>
      </c>
      <c r="M68" s="89">
        <f t="shared" si="199"/>
        <v>1826</v>
      </c>
      <c r="N68" s="91">
        <f t="shared" si="58"/>
        <v>39.989400000000003</v>
      </c>
      <c r="O68" s="182">
        <f t="shared" si="59"/>
        <v>73.313900000000004</v>
      </c>
      <c r="P68" s="130">
        <f t="shared" si="60"/>
        <v>46.654299999999999</v>
      </c>
      <c r="Q68" s="130">
        <f t="shared" si="61"/>
        <v>6.6649000000000003</v>
      </c>
      <c r="R68" s="64">
        <f t="shared" si="62"/>
        <v>1.3329800000000001</v>
      </c>
      <c r="S68" s="130">
        <f t="shared" si="63"/>
        <v>2.8592420999999999</v>
      </c>
      <c r="T68" s="130">
        <f t="shared" si="64"/>
        <v>3.9589506000000001</v>
      </c>
      <c r="U68" s="130">
        <f t="shared" si="65"/>
        <v>3.7390089</v>
      </c>
      <c r="V68" s="130">
        <f t="shared" si="66"/>
        <v>0.5498542500000001</v>
      </c>
      <c r="W68" s="130">
        <f t="shared" si="67"/>
        <v>0.10997085000000001</v>
      </c>
      <c r="X68" s="130">
        <f t="shared" si="68"/>
        <v>4.1788923000000002</v>
      </c>
      <c r="Y68" s="130">
        <f t="shared" si="69"/>
        <v>5.7184841999999998</v>
      </c>
      <c r="Z68" s="130">
        <f t="shared" si="70"/>
        <v>3.9589506000000001</v>
      </c>
      <c r="AA68" s="130">
        <f t="shared" si="71"/>
        <v>0</v>
      </c>
      <c r="AB68" s="130">
        <f t="shared" si="72"/>
        <v>0</v>
      </c>
      <c r="AC68" s="181">
        <f t="shared" si="73"/>
        <v>32.951265599999999</v>
      </c>
      <c r="AD68" s="181">
        <f t="shared" si="74"/>
        <v>63.636465200000011</v>
      </c>
      <c r="AE68" s="181">
        <f t="shared" si="75"/>
        <v>38.956340499999996</v>
      </c>
      <c r="AF68" s="181">
        <f t="shared" si="76"/>
        <v>6.1150457500000002</v>
      </c>
      <c r="AG68" s="181">
        <f t="shared" si="77"/>
        <v>1.22300915</v>
      </c>
      <c r="AH68" s="85">
        <f t="shared" si="78"/>
        <v>92.7684</v>
      </c>
      <c r="AI68" s="135">
        <f t="shared" si="79"/>
        <v>170.0754</v>
      </c>
      <c r="AJ68" s="135">
        <f t="shared" si="80"/>
        <v>108.2298</v>
      </c>
      <c r="AK68" s="135">
        <f t="shared" si="81"/>
        <v>15.461399999999999</v>
      </c>
      <c r="AL68" s="65">
        <f t="shared" si="82"/>
        <v>3.0922800000000001</v>
      </c>
      <c r="AM68" s="66">
        <v>0.9</v>
      </c>
      <c r="AN68" s="66">
        <v>0.75</v>
      </c>
      <c r="AO68" s="66">
        <v>0.9</v>
      </c>
      <c r="AP68" s="66">
        <v>0.1</v>
      </c>
      <c r="AQ68" s="66">
        <v>0.1</v>
      </c>
      <c r="AR68" s="65">
        <f t="shared" si="83"/>
        <v>86.064877890000005</v>
      </c>
      <c r="AS68" s="65">
        <f t="shared" si="84"/>
        <v>130.52576295</v>
      </c>
      <c r="AT68" s="65">
        <f t="shared" si="85"/>
        <v>100.77192801</v>
      </c>
      <c r="AU68" s="65">
        <f t="shared" si="86"/>
        <v>1.6011254250000002</v>
      </c>
      <c r="AV68" s="65">
        <f t="shared" si="87"/>
        <v>0.32022508500000002</v>
      </c>
      <c r="AW68" s="65">
        <f t="shared" si="88"/>
        <v>9.5627642099999974</v>
      </c>
      <c r="AX68" s="65">
        <f t="shared" si="89"/>
        <v>43.50858765000001</v>
      </c>
      <c r="AY68" s="65">
        <f t="shared" si="90"/>
        <v>11.196880890000003</v>
      </c>
      <c r="AZ68" s="65">
        <f t="shared" si="91"/>
        <v>14.410128825000001</v>
      </c>
      <c r="BA68" s="86">
        <f t="shared" si="92"/>
        <v>2.8820257649999999</v>
      </c>
      <c r="BB68" s="83">
        <f t="shared" si="93"/>
        <v>132.7578</v>
      </c>
      <c r="BC68" s="67">
        <f t="shared" si="94"/>
        <v>243.38929999999999</v>
      </c>
      <c r="BD68" s="67">
        <f t="shared" si="95"/>
        <v>154.88409999999999</v>
      </c>
      <c r="BE68" s="68">
        <f t="shared" si="96"/>
        <v>22.126300000000001</v>
      </c>
      <c r="BF68" s="68">
        <f t="shared" si="97"/>
        <v>4.4252599999999997</v>
      </c>
      <c r="BG68" s="67">
        <f t="shared" si="98"/>
        <v>42.514029809999997</v>
      </c>
      <c r="BH68" s="67">
        <f t="shared" si="99"/>
        <v>107.14505285000001</v>
      </c>
      <c r="BI68" s="67">
        <f t="shared" si="100"/>
        <v>50.153221389999999</v>
      </c>
      <c r="BJ68" s="68">
        <f t="shared" si="101"/>
        <v>20.525174575000001</v>
      </c>
      <c r="BK68" s="68">
        <f t="shared" si="102"/>
        <v>4.1050349150000001</v>
      </c>
      <c r="BL68" s="67">
        <f t="shared" si="103"/>
        <v>90.243770190000006</v>
      </c>
      <c r="BM68" s="67">
        <f t="shared" si="104"/>
        <v>136.24424715000001</v>
      </c>
      <c r="BN68" s="67">
        <f t="shared" si="105"/>
        <v>104.73087860999999</v>
      </c>
      <c r="BO68" s="68">
        <f t="shared" si="106"/>
        <v>1.6011254250000002</v>
      </c>
      <c r="BP68" s="76">
        <f t="shared" si="107"/>
        <v>0.32022508500000002</v>
      </c>
      <c r="BQ68" s="33">
        <f>1185300+92700*0.6</f>
        <v>1240920</v>
      </c>
      <c r="BR68" s="8">
        <v>120000</v>
      </c>
      <c r="BS68" t="s">
        <v>145</v>
      </c>
    </row>
    <row r="69" spans="1:72" x14ac:dyDescent="0.25">
      <c r="A69" s="52"/>
      <c r="B69" s="52">
        <v>40</v>
      </c>
      <c r="C69" s="53" t="s">
        <v>81</v>
      </c>
      <c r="D69" s="118">
        <v>4009</v>
      </c>
      <c r="E69" s="103" t="s">
        <v>201</v>
      </c>
      <c r="F69" s="36" t="s">
        <v>255</v>
      </c>
      <c r="G69" s="110">
        <v>3740</v>
      </c>
      <c r="H69" s="110">
        <v>601</v>
      </c>
      <c r="I69" s="107">
        <f t="shared" si="54"/>
        <v>4341</v>
      </c>
      <c r="J69" s="98">
        <f t="shared" si="197"/>
        <v>0.59679144385026739</v>
      </c>
      <c r="K69" s="53">
        <v>2232</v>
      </c>
      <c r="L69" s="94">
        <f t="shared" si="198"/>
        <v>0.40320855614973261</v>
      </c>
      <c r="M69" s="89">
        <f t="shared" si="199"/>
        <v>1508</v>
      </c>
      <c r="N69" s="91">
        <f t="shared" si="58"/>
        <v>33.025199999999998</v>
      </c>
      <c r="O69" s="182">
        <f t="shared" si="59"/>
        <v>60.546199999999999</v>
      </c>
      <c r="P69" s="130">
        <f t="shared" si="60"/>
        <v>38.529400000000003</v>
      </c>
      <c r="Q69" s="130">
        <f t="shared" si="61"/>
        <v>5.5042</v>
      </c>
      <c r="R69" s="64">
        <f t="shared" si="62"/>
        <v>1.10084</v>
      </c>
      <c r="S69" s="130">
        <f t="shared" si="63"/>
        <v>2.3613018000000001</v>
      </c>
      <c r="T69" s="130">
        <f t="shared" si="64"/>
        <v>3.2694948000000004</v>
      </c>
      <c r="U69" s="130">
        <f t="shared" si="65"/>
        <v>3.0878562000000001</v>
      </c>
      <c r="V69" s="130">
        <f t="shared" si="66"/>
        <v>0.45409650000000001</v>
      </c>
      <c r="W69" s="130">
        <f t="shared" si="67"/>
        <v>9.0819300000000006E-2</v>
      </c>
      <c r="X69" s="130">
        <f t="shared" si="68"/>
        <v>3.4511333999999998</v>
      </c>
      <c r="Y69" s="130">
        <f t="shared" si="69"/>
        <v>4.7226036000000002</v>
      </c>
      <c r="Z69" s="130">
        <f t="shared" si="70"/>
        <v>3.2694948000000004</v>
      </c>
      <c r="AA69" s="130">
        <f t="shared" si="71"/>
        <v>0</v>
      </c>
      <c r="AB69" s="130">
        <f t="shared" si="72"/>
        <v>0</v>
      </c>
      <c r="AC69" s="181">
        <f t="shared" si="73"/>
        <v>27.212764799999999</v>
      </c>
      <c r="AD69" s="181">
        <f t="shared" si="74"/>
        <v>52.554101599999996</v>
      </c>
      <c r="AE69" s="181">
        <f t="shared" si="75"/>
        <v>32.172049000000001</v>
      </c>
      <c r="AF69" s="181">
        <f t="shared" si="76"/>
        <v>5.0501034999999996</v>
      </c>
      <c r="AG69" s="181">
        <f t="shared" si="77"/>
        <v>1.0100207000000001</v>
      </c>
      <c r="AH69" s="85">
        <f t="shared" si="78"/>
        <v>62.042700000000004</v>
      </c>
      <c r="AI69" s="135">
        <f t="shared" si="79"/>
        <v>113.74495</v>
      </c>
      <c r="AJ69" s="135">
        <f t="shared" si="80"/>
        <v>72.383150000000001</v>
      </c>
      <c r="AK69" s="135">
        <f t="shared" si="81"/>
        <v>10.340450000000001</v>
      </c>
      <c r="AL69" s="65">
        <f t="shared" si="82"/>
        <v>2.0680900000000002</v>
      </c>
      <c r="AM69" s="66">
        <v>0.9</v>
      </c>
      <c r="AN69" s="66">
        <v>0.75</v>
      </c>
      <c r="AO69" s="66">
        <v>0.9</v>
      </c>
      <c r="AP69" s="66">
        <v>0.1</v>
      </c>
      <c r="AQ69" s="66">
        <v>0.1</v>
      </c>
      <c r="AR69" s="65">
        <f t="shared" si="83"/>
        <v>57.963601620000006</v>
      </c>
      <c r="AS69" s="65">
        <f t="shared" si="84"/>
        <v>87.760833600000012</v>
      </c>
      <c r="AT69" s="65">
        <f t="shared" si="85"/>
        <v>67.92390558000001</v>
      </c>
      <c r="AU69" s="65">
        <f t="shared" si="86"/>
        <v>1.0794546500000002</v>
      </c>
      <c r="AV69" s="65">
        <f t="shared" si="87"/>
        <v>0.21589093000000004</v>
      </c>
      <c r="AW69" s="65">
        <f t="shared" si="88"/>
        <v>6.4404001799999975</v>
      </c>
      <c r="AX69" s="65">
        <f t="shared" si="89"/>
        <v>29.253611199999995</v>
      </c>
      <c r="AY69" s="65">
        <f t="shared" si="90"/>
        <v>7.5471006199999948</v>
      </c>
      <c r="AZ69" s="65">
        <f t="shared" si="91"/>
        <v>9.7150918500000003</v>
      </c>
      <c r="BA69" s="86">
        <f t="shared" si="92"/>
        <v>1.9430183700000003</v>
      </c>
      <c r="BB69" s="83">
        <f t="shared" si="93"/>
        <v>95.067900000000009</v>
      </c>
      <c r="BC69" s="67">
        <f t="shared" si="94"/>
        <v>174.29115000000002</v>
      </c>
      <c r="BD69" s="67">
        <f t="shared" si="95"/>
        <v>110.91255000000001</v>
      </c>
      <c r="BE69" s="68">
        <f t="shared" si="96"/>
        <v>15.844650000000001</v>
      </c>
      <c r="BF69" s="68">
        <f t="shared" si="97"/>
        <v>3.1689300000000005</v>
      </c>
      <c r="BG69" s="67">
        <f t="shared" si="98"/>
        <v>33.65316498</v>
      </c>
      <c r="BH69" s="67">
        <f t="shared" si="99"/>
        <v>81.80771279999999</v>
      </c>
      <c r="BI69" s="67">
        <f t="shared" si="100"/>
        <v>39.719149619999996</v>
      </c>
      <c r="BJ69" s="68">
        <f t="shared" si="101"/>
        <v>14.765195349999999</v>
      </c>
      <c r="BK69" s="68">
        <f t="shared" si="102"/>
        <v>2.9530390700000004</v>
      </c>
      <c r="BL69" s="67">
        <f t="shared" si="103"/>
        <v>61.414735020000009</v>
      </c>
      <c r="BM69" s="67">
        <f t="shared" si="104"/>
        <v>92.483437200000012</v>
      </c>
      <c r="BN69" s="67">
        <f t="shared" si="105"/>
        <v>71.193400380000014</v>
      </c>
      <c r="BO69" s="68">
        <f t="shared" si="106"/>
        <v>1.0794546500000002</v>
      </c>
      <c r="BP69" s="76">
        <f t="shared" si="107"/>
        <v>0.21589093000000004</v>
      </c>
      <c r="BQ69" s="33">
        <v>872050</v>
      </c>
      <c r="BR69" s="8">
        <v>0</v>
      </c>
      <c r="BS69" t="s">
        <v>129</v>
      </c>
    </row>
    <row r="70" spans="1:72" ht="30" x14ac:dyDescent="0.25">
      <c r="A70" s="52"/>
      <c r="B70" s="52">
        <v>45</v>
      </c>
      <c r="C70" s="53" t="s">
        <v>86</v>
      </c>
      <c r="D70" s="118">
        <v>3616</v>
      </c>
      <c r="E70" s="115" t="s">
        <v>148</v>
      </c>
      <c r="F70" s="40" t="s">
        <v>255</v>
      </c>
      <c r="G70" s="110">
        <v>4443</v>
      </c>
      <c r="H70" s="110">
        <v>1332</v>
      </c>
      <c r="I70" s="107">
        <f t="shared" si="54"/>
        <v>5775</v>
      </c>
      <c r="J70" s="98">
        <f t="shared" si="197"/>
        <v>1</v>
      </c>
      <c r="K70" s="99">
        <v>4443</v>
      </c>
      <c r="L70" s="94">
        <f t="shared" si="198"/>
        <v>0</v>
      </c>
      <c r="M70" s="89">
        <f t="shared" si="199"/>
        <v>0</v>
      </c>
      <c r="N70" s="91">
        <f t="shared" si="58"/>
        <v>0</v>
      </c>
      <c r="O70" s="182">
        <f t="shared" si="59"/>
        <v>0</v>
      </c>
      <c r="P70" s="130">
        <f t="shared" si="60"/>
        <v>0</v>
      </c>
      <c r="Q70" s="130">
        <f t="shared" si="61"/>
        <v>0</v>
      </c>
      <c r="R70" s="64">
        <f t="shared" si="62"/>
        <v>0</v>
      </c>
      <c r="S70" s="130">
        <f t="shared" si="63"/>
        <v>0</v>
      </c>
      <c r="T70" s="130">
        <f t="shared" si="64"/>
        <v>0</v>
      </c>
      <c r="U70" s="130">
        <f t="shared" si="65"/>
        <v>0</v>
      </c>
      <c r="V70" s="130">
        <f t="shared" si="66"/>
        <v>0</v>
      </c>
      <c r="W70" s="130">
        <f t="shared" si="67"/>
        <v>0</v>
      </c>
      <c r="X70" s="130">
        <f t="shared" si="68"/>
        <v>0</v>
      </c>
      <c r="Y70" s="130">
        <f t="shared" si="69"/>
        <v>0</v>
      </c>
      <c r="Z70" s="130">
        <f t="shared" si="70"/>
        <v>0</v>
      </c>
      <c r="AA70" s="130">
        <f t="shared" si="71"/>
        <v>0</v>
      </c>
      <c r="AB70" s="130">
        <f t="shared" si="72"/>
        <v>0</v>
      </c>
      <c r="AC70" s="181">
        <f t="shared" si="73"/>
        <v>0</v>
      </c>
      <c r="AD70" s="181">
        <f t="shared" si="74"/>
        <v>0</v>
      </c>
      <c r="AE70" s="181">
        <f t="shared" si="75"/>
        <v>0</v>
      </c>
      <c r="AF70" s="181">
        <f t="shared" si="76"/>
        <v>0</v>
      </c>
      <c r="AG70" s="181">
        <f t="shared" si="77"/>
        <v>0</v>
      </c>
      <c r="AH70" s="85">
        <f t="shared" si="78"/>
        <v>126.4725</v>
      </c>
      <c r="AI70" s="135">
        <f t="shared" si="79"/>
        <v>231.86625000000001</v>
      </c>
      <c r="AJ70" s="135">
        <f t="shared" si="80"/>
        <v>147.55125000000001</v>
      </c>
      <c r="AK70" s="135">
        <f t="shared" si="81"/>
        <v>21.078749999999999</v>
      </c>
      <c r="AL70" s="65">
        <f t="shared" si="82"/>
        <v>4.2157499999999999</v>
      </c>
      <c r="AM70" s="66">
        <v>0.9</v>
      </c>
      <c r="AN70" s="66">
        <v>0.75</v>
      </c>
      <c r="AO70" s="66">
        <v>0.9</v>
      </c>
      <c r="AP70" s="66">
        <v>0.1</v>
      </c>
      <c r="AQ70" s="66">
        <v>0.1</v>
      </c>
      <c r="AR70" s="65">
        <f t="shared" si="83"/>
        <v>113.82525</v>
      </c>
      <c r="AS70" s="65">
        <f t="shared" si="84"/>
        <v>173.8996875</v>
      </c>
      <c r="AT70" s="65">
        <f t="shared" si="85"/>
        <v>132.79612500000002</v>
      </c>
      <c r="AU70" s="65">
        <f t="shared" si="86"/>
        <v>2.1078749999999999</v>
      </c>
      <c r="AV70" s="65">
        <f t="shared" si="87"/>
        <v>0.42157500000000003</v>
      </c>
      <c r="AW70" s="65">
        <f t="shared" si="88"/>
        <v>12.64725</v>
      </c>
      <c r="AX70" s="65">
        <f t="shared" si="89"/>
        <v>57.966562500000009</v>
      </c>
      <c r="AY70" s="65">
        <f t="shared" si="90"/>
        <v>14.755124999999992</v>
      </c>
      <c r="AZ70" s="65">
        <f t="shared" si="91"/>
        <v>18.970874999999999</v>
      </c>
      <c r="BA70" s="86">
        <f t="shared" si="92"/>
        <v>3.7941750000000001</v>
      </c>
      <c r="BB70" s="83">
        <f t="shared" si="93"/>
        <v>126.4725</v>
      </c>
      <c r="BC70" s="67">
        <f t="shared" si="94"/>
        <v>231.86625000000001</v>
      </c>
      <c r="BD70" s="67">
        <f t="shared" si="95"/>
        <v>147.55125000000001</v>
      </c>
      <c r="BE70" s="68">
        <f t="shared" si="96"/>
        <v>21.078749999999999</v>
      </c>
      <c r="BF70" s="68">
        <f t="shared" si="97"/>
        <v>4.2157499999999999</v>
      </c>
      <c r="BG70" s="67">
        <f t="shared" si="98"/>
        <v>12.64725</v>
      </c>
      <c r="BH70" s="67">
        <f t="shared" si="99"/>
        <v>57.966562500000009</v>
      </c>
      <c r="BI70" s="67">
        <f t="shared" si="100"/>
        <v>14.755124999999992</v>
      </c>
      <c r="BJ70" s="68">
        <f t="shared" si="101"/>
        <v>18.970874999999999</v>
      </c>
      <c r="BK70" s="68">
        <f t="shared" si="102"/>
        <v>3.7941750000000001</v>
      </c>
      <c r="BL70" s="67">
        <f t="shared" si="103"/>
        <v>113.82525</v>
      </c>
      <c r="BM70" s="67">
        <f t="shared" si="104"/>
        <v>173.8996875</v>
      </c>
      <c r="BN70" s="67">
        <f t="shared" si="105"/>
        <v>132.79612500000002</v>
      </c>
      <c r="BO70" s="68">
        <f t="shared" si="106"/>
        <v>2.1078749999999999</v>
      </c>
      <c r="BP70" s="76">
        <f t="shared" si="107"/>
        <v>0.42157500000000003</v>
      </c>
      <c r="BQ70" s="33">
        <v>0</v>
      </c>
      <c r="BR70" s="8">
        <v>210000</v>
      </c>
      <c r="BS70" t="s">
        <v>129</v>
      </c>
    </row>
    <row r="71" spans="1:72" x14ac:dyDescent="0.25">
      <c r="A71" s="52"/>
      <c r="B71" s="52">
        <v>48</v>
      </c>
      <c r="C71" s="53" t="s">
        <v>90</v>
      </c>
      <c r="D71" s="118">
        <v>3201</v>
      </c>
      <c r="E71" s="103" t="s">
        <v>197</v>
      </c>
      <c r="F71" s="36" t="s">
        <v>255</v>
      </c>
      <c r="G71" s="110">
        <v>3127</v>
      </c>
      <c r="H71" s="111">
        <v>0</v>
      </c>
      <c r="I71" s="107">
        <f t="shared" si="54"/>
        <v>3127</v>
      </c>
      <c r="J71" s="98">
        <f t="shared" si="197"/>
        <v>1</v>
      </c>
      <c r="K71" s="99">
        <v>3127</v>
      </c>
      <c r="L71" s="94">
        <f t="shared" si="198"/>
        <v>0</v>
      </c>
      <c r="M71" s="89">
        <f t="shared" si="199"/>
        <v>0</v>
      </c>
      <c r="N71" s="91">
        <f t="shared" si="58"/>
        <v>0</v>
      </c>
      <c r="O71" s="182">
        <f t="shared" si="59"/>
        <v>0</v>
      </c>
      <c r="P71" s="130">
        <f t="shared" si="60"/>
        <v>0</v>
      </c>
      <c r="Q71" s="130">
        <f t="shared" si="61"/>
        <v>0</v>
      </c>
      <c r="R71" s="64">
        <f t="shared" si="62"/>
        <v>0</v>
      </c>
      <c r="S71" s="130">
        <f t="shared" si="63"/>
        <v>0</v>
      </c>
      <c r="T71" s="130">
        <f t="shared" si="64"/>
        <v>0</v>
      </c>
      <c r="U71" s="130">
        <f t="shared" si="65"/>
        <v>0</v>
      </c>
      <c r="V71" s="130">
        <f t="shared" si="66"/>
        <v>0</v>
      </c>
      <c r="W71" s="130">
        <f t="shared" si="67"/>
        <v>0</v>
      </c>
      <c r="X71" s="130">
        <f t="shared" si="68"/>
        <v>0</v>
      </c>
      <c r="Y71" s="130">
        <f t="shared" si="69"/>
        <v>0</v>
      </c>
      <c r="Z71" s="130">
        <f t="shared" si="70"/>
        <v>0</v>
      </c>
      <c r="AA71" s="130">
        <f t="shared" si="71"/>
        <v>0</v>
      </c>
      <c r="AB71" s="130">
        <f t="shared" si="72"/>
        <v>0</v>
      </c>
      <c r="AC71" s="181">
        <f t="shared" si="73"/>
        <v>0</v>
      </c>
      <c r="AD71" s="181">
        <f t="shared" si="74"/>
        <v>0</v>
      </c>
      <c r="AE71" s="181">
        <f t="shared" si="75"/>
        <v>0</v>
      </c>
      <c r="AF71" s="181">
        <f t="shared" si="76"/>
        <v>0</v>
      </c>
      <c r="AG71" s="181">
        <f t="shared" si="77"/>
        <v>0</v>
      </c>
      <c r="AH71" s="85">
        <f t="shared" si="78"/>
        <v>68.481300000000005</v>
      </c>
      <c r="AI71" s="135">
        <f t="shared" si="79"/>
        <v>125.54904999999999</v>
      </c>
      <c r="AJ71" s="135">
        <f t="shared" si="80"/>
        <v>79.894850000000005</v>
      </c>
      <c r="AK71" s="135">
        <f t="shared" si="81"/>
        <v>11.413550000000001</v>
      </c>
      <c r="AL71" s="65">
        <f t="shared" si="82"/>
        <v>2.2827099999999998</v>
      </c>
      <c r="AM71" s="66">
        <v>0.9</v>
      </c>
      <c r="AN71" s="66">
        <v>0.75</v>
      </c>
      <c r="AO71" s="66">
        <v>0.9</v>
      </c>
      <c r="AP71" s="66">
        <v>0.1</v>
      </c>
      <c r="AQ71" s="66">
        <v>0.1</v>
      </c>
      <c r="AR71" s="65">
        <f t="shared" si="83"/>
        <v>61.633170000000007</v>
      </c>
      <c r="AS71" s="65">
        <f t="shared" si="84"/>
        <v>94.161787500000003</v>
      </c>
      <c r="AT71" s="65">
        <f t="shared" si="85"/>
        <v>71.905365000000003</v>
      </c>
      <c r="AU71" s="65">
        <f t="shared" si="86"/>
        <v>1.1413550000000001</v>
      </c>
      <c r="AV71" s="65">
        <f t="shared" si="87"/>
        <v>0.228271</v>
      </c>
      <c r="AW71" s="65">
        <f t="shared" si="88"/>
        <v>6.8481299999999976</v>
      </c>
      <c r="AX71" s="65">
        <f t="shared" si="89"/>
        <v>31.387262499999991</v>
      </c>
      <c r="AY71" s="65">
        <f t="shared" si="90"/>
        <v>7.9894850000000019</v>
      </c>
      <c r="AZ71" s="65">
        <f t="shared" si="91"/>
        <v>10.272195</v>
      </c>
      <c r="BA71" s="86">
        <f t="shared" si="92"/>
        <v>2.0544389999999999</v>
      </c>
      <c r="BB71" s="83">
        <f t="shared" si="93"/>
        <v>68.481300000000005</v>
      </c>
      <c r="BC71" s="67">
        <f t="shared" si="94"/>
        <v>125.54904999999999</v>
      </c>
      <c r="BD71" s="67">
        <f t="shared" si="95"/>
        <v>79.894850000000005</v>
      </c>
      <c r="BE71" s="68">
        <f t="shared" si="96"/>
        <v>11.413550000000001</v>
      </c>
      <c r="BF71" s="68">
        <f t="shared" si="97"/>
        <v>2.2827099999999998</v>
      </c>
      <c r="BG71" s="67">
        <f t="shared" si="98"/>
        <v>6.8481299999999976</v>
      </c>
      <c r="BH71" s="67">
        <f t="shared" si="99"/>
        <v>31.387262499999991</v>
      </c>
      <c r="BI71" s="67">
        <f t="shared" si="100"/>
        <v>7.9894850000000019</v>
      </c>
      <c r="BJ71" s="68">
        <f t="shared" si="101"/>
        <v>10.272195</v>
      </c>
      <c r="BK71" s="68">
        <f t="shared" si="102"/>
        <v>2.0544389999999999</v>
      </c>
      <c r="BL71" s="67">
        <f t="shared" si="103"/>
        <v>61.633170000000007</v>
      </c>
      <c r="BM71" s="67">
        <f t="shared" si="104"/>
        <v>94.161787500000003</v>
      </c>
      <c r="BN71" s="67">
        <f t="shared" si="105"/>
        <v>71.905365000000003</v>
      </c>
      <c r="BO71" s="68">
        <f t="shared" si="106"/>
        <v>1.1413550000000001</v>
      </c>
      <c r="BP71" s="76">
        <f t="shared" si="107"/>
        <v>0.228271</v>
      </c>
      <c r="BQ71" s="33">
        <v>0</v>
      </c>
      <c r="BR71" s="8">
        <v>0</v>
      </c>
      <c r="BS71" t="s">
        <v>133</v>
      </c>
    </row>
    <row r="72" spans="1:72" ht="30" x14ac:dyDescent="0.25">
      <c r="A72" s="52"/>
      <c r="B72" s="52">
        <v>58</v>
      </c>
      <c r="C72" s="53" t="s">
        <v>15</v>
      </c>
      <c r="D72" s="118">
        <v>2617</v>
      </c>
      <c r="E72" s="115" t="s">
        <v>157</v>
      </c>
      <c r="F72" s="40" t="s">
        <v>255</v>
      </c>
      <c r="G72" s="110">
        <v>2483</v>
      </c>
      <c r="H72" s="110">
        <v>1457</v>
      </c>
      <c r="I72" s="107">
        <f t="shared" si="54"/>
        <v>3940</v>
      </c>
      <c r="J72" s="98">
        <f t="shared" si="197"/>
        <v>0.84897301651228352</v>
      </c>
      <c r="K72" s="99">
        <v>2108</v>
      </c>
      <c r="L72" s="94">
        <f t="shared" si="198"/>
        <v>0.15102698348771648</v>
      </c>
      <c r="M72" s="89">
        <f t="shared" si="199"/>
        <v>375</v>
      </c>
      <c r="N72" s="91">
        <f t="shared" si="58"/>
        <v>8.2125000000000004</v>
      </c>
      <c r="O72" s="182">
        <f t="shared" si="59"/>
        <v>15.05625</v>
      </c>
      <c r="P72" s="130">
        <f t="shared" si="60"/>
        <v>9.5812500000000007</v>
      </c>
      <c r="Q72" s="130">
        <f t="shared" si="61"/>
        <v>1.3687499999999999</v>
      </c>
      <c r="R72" s="64">
        <f t="shared" si="62"/>
        <v>0.27374999999999999</v>
      </c>
      <c r="S72" s="130">
        <f t="shared" si="63"/>
        <v>0.58719374999999996</v>
      </c>
      <c r="T72" s="130">
        <f t="shared" si="64"/>
        <v>0.81303750000000008</v>
      </c>
      <c r="U72" s="130">
        <f t="shared" si="65"/>
        <v>0.76786874999999999</v>
      </c>
      <c r="V72" s="130">
        <f t="shared" si="66"/>
        <v>0.112921875</v>
      </c>
      <c r="W72" s="130">
        <f t="shared" si="67"/>
        <v>2.2584375E-2</v>
      </c>
      <c r="X72" s="130">
        <f t="shared" si="68"/>
        <v>0.85820625000000006</v>
      </c>
      <c r="Y72" s="130">
        <f t="shared" si="69"/>
        <v>1.1743874999999999</v>
      </c>
      <c r="Z72" s="130">
        <f t="shared" si="70"/>
        <v>0.81303750000000008</v>
      </c>
      <c r="AA72" s="130">
        <f t="shared" si="71"/>
        <v>0</v>
      </c>
      <c r="AB72" s="130">
        <f t="shared" si="72"/>
        <v>0</v>
      </c>
      <c r="AC72" s="181">
        <f t="shared" si="73"/>
        <v>6.7671000000000001</v>
      </c>
      <c r="AD72" s="181">
        <f t="shared" si="74"/>
        <v>13.068825</v>
      </c>
      <c r="AE72" s="181">
        <f t="shared" si="75"/>
        <v>8.0003437500000008</v>
      </c>
      <c r="AF72" s="181">
        <f t="shared" si="76"/>
        <v>1.2558281249999999</v>
      </c>
      <c r="AG72" s="181">
        <f t="shared" si="77"/>
        <v>0.251165625</v>
      </c>
      <c r="AH72" s="85">
        <f t="shared" si="78"/>
        <v>78.073499999999996</v>
      </c>
      <c r="AI72" s="135">
        <f t="shared" si="79"/>
        <v>143.13475</v>
      </c>
      <c r="AJ72" s="135">
        <f t="shared" si="80"/>
        <v>91.085750000000004</v>
      </c>
      <c r="AK72" s="135">
        <f t="shared" si="81"/>
        <v>13.01225</v>
      </c>
      <c r="AL72" s="65">
        <f t="shared" si="82"/>
        <v>2.6024500000000002</v>
      </c>
      <c r="AM72" s="66">
        <v>0.9</v>
      </c>
      <c r="AN72" s="66">
        <v>0.75</v>
      </c>
      <c r="AO72" s="66">
        <v>0.9</v>
      </c>
      <c r="AP72" s="66">
        <v>0.1</v>
      </c>
      <c r="AQ72" s="66">
        <v>0.1</v>
      </c>
      <c r="AR72" s="65">
        <f t="shared" si="83"/>
        <v>70.794624374999998</v>
      </c>
      <c r="AS72" s="65">
        <f t="shared" si="84"/>
        <v>107.960840625</v>
      </c>
      <c r="AT72" s="65">
        <f t="shared" si="85"/>
        <v>82.668256875000012</v>
      </c>
      <c r="AU72" s="65">
        <f t="shared" si="86"/>
        <v>1.3125171875000001</v>
      </c>
      <c r="AV72" s="65">
        <f t="shared" si="87"/>
        <v>0.26250343750000005</v>
      </c>
      <c r="AW72" s="65">
        <f t="shared" si="88"/>
        <v>7.866069374999995</v>
      </c>
      <c r="AX72" s="65">
        <f t="shared" si="89"/>
        <v>35.986946875000001</v>
      </c>
      <c r="AY72" s="65">
        <f t="shared" si="90"/>
        <v>9.1853618749999981</v>
      </c>
      <c r="AZ72" s="65">
        <f t="shared" si="91"/>
        <v>11.8126546875</v>
      </c>
      <c r="BA72" s="86">
        <f t="shared" si="92"/>
        <v>2.3625309375000003</v>
      </c>
      <c r="BB72" s="83">
        <f t="shared" si="93"/>
        <v>86.286000000000001</v>
      </c>
      <c r="BC72" s="67">
        <f t="shared" si="94"/>
        <v>158.191</v>
      </c>
      <c r="BD72" s="67">
        <f t="shared" si="95"/>
        <v>100.667</v>
      </c>
      <c r="BE72" s="68">
        <f t="shared" si="96"/>
        <v>14.381</v>
      </c>
      <c r="BF72" s="68">
        <f t="shared" si="97"/>
        <v>2.8762000000000003</v>
      </c>
      <c r="BG72" s="67">
        <f t="shared" si="98"/>
        <v>14.633169374999994</v>
      </c>
      <c r="BH72" s="67">
        <f t="shared" si="99"/>
        <v>49.055771875000005</v>
      </c>
      <c r="BI72" s="67">
        <f t="shared" si="100"/>
        <v>17.185705624999997</v>
      </c>
      <c r="BJ72" s="68">
        <f t="shared" si="101"/>
        <v>13.068482812500001</v>
      </c>
      <c r="BK72" s="68">
        <f t="shared" si="102"/>
        <v>2.6136965625000004</v>
      </c>
      <c r="BL72" s="67">
        <f t="shared" si="103"/>
        <v>71.652830624999993</v>
      </c>
      <c r="BM72" s="67">
        <f t="shared" si="104"/>
        <v>109.135228125</v>
      </c>
      <c r="BN72" s="67">
        <f t="shared" si="105"/>
        <v>83.481294375000004</v>
      </c>
      <c r="BO72" s="68">
        <f t="shared" si="106"/>
        <v>1.3125171875000001</v>
      </c>
      <c r="BP72" s="76">
        <f t="shared" si="107"/>
        <v>0.26250343750000005</v>
      </c>
      <c r="BQ72" s="33">
        <v>361800</v>
      </c>
      <c r="BR72" s="8">
        <v>186000</v>
      </c>
      <c r="BS72" t="s">
        <v>129</v>
      </c>
    </row>
    <row r="73" spans="1:72" x14ac:dyDescent="0.25">
      <c r="A73" s="52"/>
      <c r="B73" s="52">
        <v>69</v>
      </c>
      <c r="C73" s="53" t="s">
        <v>105</v>
      </c>
      <c r="D73" s="118">
        <v>2124</v>
      </c>
      <c r="E73" s="103" t="s">
        <v>162</v>
      </c>
      <c r="F73" s="36" t="s">
        <v>255</v>
      </c>
      <c r="G73" s="110">
        <v>2518</v>
      </c>
      <c r="H73" s="111">
        <v>77</v>
      </c>
      <c r="I73" s="107">
        <f t="shared" si="54"/>
        <v>2595</v>
      </c>
      <c r="J73" s="98">
        <f t="shared" si="197"/>
        <v>0.53018268467037333</v>
      </c>
      <c r="K73" s="99">
        <v>1335</v>
      </c>
      <c r="L73" s="94">
        <f t="shared" si="198"/>
        <v>0.46981731532962667</v>
      </c>
      <c r="M73" s="89">
        <f t="shared" si="199"/>
        <v>1183</v>
      </c>
      <c r="N73" s="91">
        <f t="shared" si="58"/>
        <v>25.907699999999998</v>
      </c>
      <c r="O73" s="182">
        <f t="shared" si="59"/>
        <v>47.497450000000001</v>
      </c>
      <c r="P73" s="130">
        <f t="shared" si="60"/>
        <v>30.225650000000002</v>
      </c>
      <c r="Q73" s="130">
        <f t="shared" si="61"/>
        <v>4.3179499999999997</v>
      </c>
      <c r="R73" s="64">
        <f t="shared" si="62"/>
        <v>0.86358999999999997</v>
      </c>
      <c r="S73" s="130">
        <f t="shared" si="63"/>
        <v>1.8524005500000003</v>
      </c>
      <c r="T73" s="130">
        <f t="shared" si="64"/>
        <v>2.5648623000000002</v>
      </c>
      <c r="U73" s="130">
        <f t="shared" si="65"/>
        <v>2.4223699500000002</v>
      </c>
      <c r="V73" s="130">
        <f t="shared" si="66"/>
        <v>0.356230875</v>
      </c>
      <c r="W73" s="130">
        <f t="shared" si="67"/>
        <v>7.1246174999999995E-2</v>
      </c>
      <c r="X73" s="130">
        <f t="shared" si="68"/>
        <v>2.7073546500000001</v>
      </c>
      <c r="Y73" s="130">
        <f t="shared" si="69"/>
        <v>3.7048011000000005</v>
      </c>
      <c r="Z73" s="130">
        <f t="shared" si="70"/>
        <v>2.5648623000000002</v>
      </c>
      <c r="AA73" s="130">
        <f t="shared" si="71"/>
        <v>0</v>
      </c>
      <c r="AB73" s="130">
        <f t="shared" si="72"/>
        <v>0</v>
      </c>
      <c r="AC73" s="181">
        <f t="shared" si="73"/>
        <v>21.3479448</v>
      </c>
      <c r="AD73" s="181">
        <f t="shared" si="74"/>
        <v>41.227786600000002</v>
      </c>
      <c r="AE73" s="181">
        <f t="shared" si="75"/>
        <v>25.23841775</v>
      </c>
      <c r="AF73" s="181">
        <f t="shared" si="76"/>
        <v>3.9617191249999997</v>
      </c>
      <c r="AG73" s="181">
        <f t="shared" si="77"/>
        <v>0.792343825</v>
      </c>
      <c r="AH73" s="85">
        <f t="shared" si="78"/>
        <v>30.922799999999999</v>
      </c>
      <c r="AI73" s="135">
        <f t="shared" si="79"/>
        <v>56.691800000000001</v>
      </c>
      <c r="AJ73" s="135">
        <f t="shared" si="80"/>
        <v>36.076599999999999</v>
      </c>
      <c r="AK73" s="135">
        <f t="shared" si="81"/>
        <v>5.1538000000000004</v>
      </c>
      <c r="AL73" s="65">
        <f t="shared" si="82"/>
        <v>1.0307599999999999</v>
      </c>
      <c r="AM73" s="66">
        <v>0.9</v>
      </c>
      <c r="AN73" s="66">
        <v>0.75</v>
      </c>
      <c r="AO73" s="66">
        <v>0.9</v>
      </c>
      <c r="AP73" s="66">
        <v>0.1</v>
      </c>
      <c r="AQ73" s="66">
        <v>0.1</v>
      </c>
      <c r="AR73" s="65">
        <f t="shared" si="83"/>
        <v>29.497680495000001</v>
      </c>
      <c r="AS73" s="65">
        <f t="shared" si="84"/>
        <v>44.442496724999998</v>
      </c>
      <c r="AT73" s="65">
        <f t="shared" si="85"/>
        <v>34.649072955000001</v>
      </c>
      <c r="AU73" s="65">
        <f t="shared" si="86"/>
        <v>0.55100308750000004</v>
      </c>
      <c r="AV73" s="65">
        <f t="shared" si="87"/>
        <v>0.11020061749999999</v>
      </c>
      <c r="AW73" s="65">
        <f t="shared" si="88"/>
        <v>3.2775200550000001</v>
      </c>
      <c r="AX73" s="65">
        <f t="shared" si="89"/>
        <v>14.814165575000004</v>
      </c>
      <c r="AY73" s="65">
        <f t="shared" si="90"/>
        <v>3.8498969950000017</v>
      </c>
      <c r="AZ73" s="65">
        <f t="shared" si="91"/>
        <v>4.9590277875000002</v>
      </c>
      <c r="BA73" s="86">
        <f t="shared" si="92"/>
        <v>0.99180555749999988</v>
      </c>
      <c r="BB73" s="83">
        <f t="shared" si="93"/>
        <v>56.830500000000001</v>
      </c>
      <c r="BC73" s="67">
        <f t="shared" si="94"/>
        <v>104.18925</v>
      </c>
      <c r="BD73" s="67">
        <f t="shared" si="95"/>
        <v>66.302250000000001</v>
      </c>
      <c r="BE73" s="68">
        <f t="shared" si="96"/>
        <v>9.4717500000000001</v>
      </c>
      <c r="BF73" s="68">
        <f t="shared" si="97"/>
        <v>1.8943499999999998</v>
      </c>
      <c r="BG73" s="67">
        <f t="shared" si="98"/>
        <v>24.625464855000001</v>
      </c>
      <c r="BH73" s="67">
        <f t="shared" si="99"/>
        <v>56.041952175000006</v>
      </c>
      <c r="BI73" s="67">
        <f t="shared" si="100"/>
        <v>29.088314745000002</v>
      </c>
      <c r="BJ73" s="68">
        <f t="shared" si="101"/>
        <v>8.9207469125000003</v>
      </c>
      <c r="BK73" s="68">
        <f t="shared" si="102"/>
        <v>1.7841493824999999</v>
      </c>
      <c r="BL73" s="67">
        <f t="shared" si="103"/>
        <v>32.205035145000004</v>
      </c>
      <c r="BM73" s="67">
        <f t="shared" si="104"/>
        <v>48.147297824999995</v>
      </c>
      <c r="BN73" s="67">
        <f t="shared" si="105"/>
        <v>37.213935255000003</v>
      </c>
      <c r="BO73" s="68">
        <f t="shared" si="106"/>
        <v>0.55100308750000004</v>
      </c>
      <c r="BP73" s="76">
        <f t="shared" si="107"/>
        <v>0.11020061749999999</v>
      </c>
      <c r="BQ73" s="33">
        <v>1301163</v>
      </c>
      <c r="BR73" s="8">
        <v>553173</v>
      </c>
      <c r="BS73" t="s">
        <v>129</v>
      </c>
    </row>
    <row r="74" spans="1:72" x14ac:dyDescent="0.25">
      <c r="A74" s="52"/>
      <c r="B74" s="52">
        <v>72</v>
      </c>
      <c r="C74" s="53" t="s">
        <v>112</v>
      </c>
      <c r="D74" s="118">
        <v>2059</v>
      </c>
      <c r="E74" s="103" t="s">
        <v>4</v>
      </c>
      <c r="F74" s="36" t="s">
        <v>255</v>
      </c>
      <c r="G74" s="110">
        <v>2166</v>
      </c>
      <c r="H74" s="111">
        <v>0</v>
      </c>
      <c r="I74" s="107">
        <f t="shared" si="54"/>
        <v>2166</v>
      </c>
      <c r="J74" s="98">
        <f t="shared" si="197"/>
        <v>1</v>
      </c>
      <c r="K74" s="99">
        <v>2166</v>
      </c>
      <c r="L74" s="94">
        <f t="shared" si="198"/>
        <v>0</v>
      </c>
      <c r="M74" s="89">
        <f t="shared" si="199"/>
        <v>0</v>
      </c>
      <c r="N74" s="91">
        <f t="shared" si="58"/>
        <v>0</v>
      </c>
      <c r="O74" s="182">
        <f t="shared" si="59"/>
        <v>0</v>
      </c>
      <c r="P74" s="130">
        <f t="shared" si="60"/>
        <v>0</v>
      </c>
      <c r="Q74" s="130">
        <f t="shared" si="61"/>
        <v>0</v>
      </c>
      <c r="R74" s="64">
        <f t="shared" si="62"/>
        <v>0</v>
      </c>
      <c r="S74" s="130">
        <f t="shared" si="63"/>
        <v>0</v>
      </c>
      <c r="T74" s="130">
        <f t="shared" si="64"/>
        <v>0</v>
      </c>
      <c r="U74" s="130">
        <f t="shared" si="65"/>
        <v>0</v>
      </c>
      <c r="V74" s="130">
        <f t="shared" si="66"/>
        <v>0</v>
      </c>
      <c r="W74" s="130">
        <f t="shared" si="67"/>
        <v>0</v>
      </c>
      <c r="X74" s="130">
        <f t="shared" si="68"/>
        <v>0</v>
      </c>
      <c r="Y74" s="130">
        <f t="shared" si="69"/>
        <v>0</v>
      </c>
      <c r="Z74" s="130">
        <f t="shared" si="70"/>
        <v>0</v>
      </c>
      <c r="AA74" s="130">
        <f t="shared" si="71"/>
        <v>0</v>
      </c>
      <c r="AB74" s="130">
        <f t="shared" si="72"/>
        <v>0</v>
      </c>
      <c r="AC74" s="181">
        <f t="shared" si="73"/>
        <v>0</v>
      </c>
      <c r="AD74" s="181">
        <f t="shared" si="74"/>
        <v>0</v>
      </c>
      <c r="AE74" s="181">
        <f t="shared" si="75"/>
        <v>0</v>
      </c>
      <c r="AF74" s="181">
        <f t="shared" si="76"/>
        <v>0</v>
      </c>
      <c r="AG74" s="181">
        <f t="shared" si="77"/>
        <v>0</v>
      </c>
      <c r="AH74" s="85">
        <f t="shared" si="78"/>
        <v>47.435400000000001</v>
      </c>
      <c r="AI74" s="135">
        <f t="shared" si="79"/>
        <v>86.9649</v>
      </c>
      <c r="AJ74" s="135">
        <f t="shared" si="80"/>
        <v>55.341299999999997</v>
      </c>
      <c r="AK74" s="135">
        <f t="shared" si="81"/>
        <v>7.9058999999999999</v>
      </c>
      <c r="AL74" s="65">
        <f t="shared" si="82"/>
        <v>1.58118</v>
      </c>
      <c r="AM74" s="66">
        <v>0.9</v>
      </c>
      <c r="AN74" s="66">
        <v>0.75</v>
      </c>
      <c r="AO74" s="66">
        <v>0.9</v>
      </c>
      <c r="AP74" s="66">
        <v>0.1</v>
      </c>
      <c r="AQ74" s="66">
        <v>0.1</v>
      </c>
      <c r="AR74" s="65">
        <f t="shared" si="83"/>
        <v>42.691860000000005</v>
      </c>
      <c r="AS74" s="65">
        <f t="shared" si="84"/>
        <v>65.223675</v>
      </c>
      <c r="AT74" s="65">
        <f t="shared" si="85"/>
        <v>49.807169999999999</v>
      </c>
      <c r="AU74" s="65">
        <f t="shared" si="86"/>
        <v>0.79059000000000001</v>
      </c>
      <c r="AV74" s="65">
        <f t="shared" si="87"/>
        <v>0.15811800000000001</v>
      </c>
      <c r="AW74" s="65">
        <f t="shared" si="88"/>
        <v>4.7435399999999959</v>
      </c>
      <c r="AX74" s="65">
        <f t="shared" si="89"/>
        <v>21.741225</v>
      </c>
      <c r="AY74" s="65">
        <f t="shared" si="90"/>
        <v>5.5341299999999976</v>
      </c>
      <c r="AZ74" s="65">
        <f t="shared" si="91"/>
        <v>7.11531</v>
      </c>
      <c r="BA74" s="86">
        <f t="shared" si="92"/>
        <v>1.423062</v>
      </c>
      <c r="BB74" s="83">
        <f t="shared" si="93"/>
        <v>47.435400000000001</v>
      </c>
      <c r="BC74" s="67">
        <f t="shared" si="94"/>
        <v>86.9649</v>
      </c>
      <c r="BD74" s="67">
        <f t="shared" si="95"/>
        <v>55.341299999999997</v>
      </c>
      <c r="BE74" s="68">
        <f t="shared" si="96"/>
        <v>7.9058999999999999</v>
      </c>
      <c r="BF74" s="68">
        <f t="shared" si="97"/>
        <v>1.58118</v>
      </c>
      <c r="BG74" s="67">
        <f t="shared" si="98"/>
        <v>4.7435399999999959</v>
      </c>
      <c r="BH74" s="67">
        <f t="shared" si="99"/>
        <v>21.741225</v>
      </c>
      <c r="BI74" s="67">
        <f t="shared" si="100"/>
        <v>5.5341299999999976</v>
      </c>
      <c r="BJ74" s="68">
        <f t="shared" si="101"/>
        <v>7.11531</v>
      </c>
      <c r="BK74" s="68">
        <f t="shared" si="102"/>
        <v>1.423062</v>
      </c>
      <c r="BL74" s="67">
        <f t="shared" si="103"/>
        <v>42.691860000000005</v>
      </c>
      <c r="BM74" s="67">
        <f t="shared" si="104"/>
        <v>65.223675</v>
      </c>
      <c r="BN74" s="67">
        <f t="shared" si="105"/>
        <v>49.807169999999999</v>
      </c>
      <c r="BO74" s="68">
        <f t="shared" si="106"/>
        <v>0.79059000000000001</v>
      </c>
      <c r="BP74" s="76">
        <f t="shared" si="107"/>
        <v>0.15811800000000001</v>
      </c>
      <c r="BQ74" s="33">
        <v>0</v>
      </c>
      <c r="BR74" s="8">
        <v>0</v>
      </c>
    </row>
    <row r="75" spans="1:72" ht="75.75" thickBot="1" x14ac:dyDescent="0.3">
      <c r="A75" s="52"/>
      <c r="B75" s="302">
        <v>80</v>
      </c>
      <c r="C75" s="305" t="s">
        <v>118</v>
      </c>
      <c r="D75" s="306">
        <v>1706</v>
      </c>
      <c r="E75" s="354" t="s">
        <v>215</v>
      </c>
      <c r="F75" s="40" t="s">
        <v>255</v>
      </c>
      <c r="G75" s="308">
        <v>1902</v>
      </c>
      <c r="H75" s="210">
        <v>102</v>
      </c>
      <c r="I75" s="310">
        <f t="shared" ref="I75:I103" si="200">G75+H75</f>
        <v>2004</v>
      </c>
      <c r="J75" s="311">
        <f t="shared" si="197"/>
        <v>0.61882229232386965</v>
      </c>
      <c r="K75" s="312">
        <v>1177</v>
      </c>
      <c r="L75" s="313">
        <f t="shared" si="198"/>
        <v>0.38117770767613041</v>
      </c>
      <c r="M75" s="314">
        <f t="shared" si="199"/>
        <v>725</v>
      </c>
      <c r="N75" s="315">
        <f t="shared" ref="N75:N103" si="201">M75*60*365/1000000</f>
        <v>15.8775</v>
      </c>
      <c r="O75" s="317">
        <f t="shared" ref="O75:O103" si="202">M75*110*365/1000000</f>
        <v>29.108750000000001</v>
      </c>
      <c r="P75" s="318">
        <f t="shared" ref="P75:P103" si="203">M75*70*365/1000000</f>
        <v>18.52375</v>
      </c>
      <c r="Q75" s="318">
        <f t="shared" ref="Q75:Q103" si="204">M75*10*365/1000000</f>
        <v>2.6462500000000002</v>
      </c>
      <c r="R75" s="319">
        <f t="shared" ref="R75:R103" si="205">M75*2*365/1000000</f>
        <v>0.52925</v>
      </c>
      <c r="S75" s="318">
        <f t="shared" ref="S75:S103" si="206">M75*13*365/1000000*0.33</f>
        <v>1.13524125</v>
      </c>
      <c r="T75" s="318">
        <f t="shared" ref="T75:T103" si="207">M75*18*365/1000000*0.33</f>
        <v>1.5718725000000002</v>
      </c>
      <c r="U75" s="318">
        <f t="shared" ref="U75:U103" si="208">M75*17*365/1000000*0.33</f>
        <v>1.48454625</v>
      </c>
      <c r="V75" s="318">
        <f t="shared" ref="V75:V103" si="209">M75*2.5*365/1000000*0.33</f>
        <v>0.21831562500000004</v>
      </c>
      <c r="W75" s="318">
        <f t="shared" ref="W75:W103" si="210">M75*0.5*365/1000000*0.33</f>
        <v>4.3663125000000004E-2</v>
      </c>
      <c r="X75" s="318">
        <f t="shared" ref="X75:X103" si="211">M75*19*365/1000000*0.33</f>
        <v>1.6591987500000001</v>
      </c>
      <c r="Y75" s="318">
        <f t="shared" ref="Y75:Y103" si="212">M75*26*365/1000000*0.33</f>
        <v>2.2704825</v>
      </c>
      <c r="Z75" s="318">
        <f t="shared" ref="Z75:Z103" si="213">M75*18*365/1000000*0.33</f>
        <v>1.5718725000000002</v>
      </c>
      <c r="AA75" s="318">
        <f t="shared" ref="AA75:AA103" si="214">M75*0*365/1000000*0.33</f>
        <v>0</v>
      </c>
      <c r="AB75" s="318">
        <f t="shared" ref="AB75:AB103" si="215">M75*0*365/1000000*0.33</f>
        <v>0</v>
      </c>
      <c r="AC75" s="320">
        <f t="shared" ref="AC75:AC103" si="216">N75-S75-X75</f>
        <v>13.08306</v>
      </c>
      <c r="AD75" s="320">
        <f t="shared" ref="AD75:AD103" si="217">O75-T75-Y75</f>
        <v>25.266394999999999</v>
      </c>
      <c r="AE75" s="320">
        <f t="shared" ref="AE75:AE103" si="218">P75-U75-Z75</f>
        <v>15.467331249999999</v>
      </c>
      <c r="AF75" s="320">
        <f t="shared" ref="AF75:AF103" si="219">Q75-V75-AA75</f>
        <v>2.427934375</v>
      </c>
      <c r="AG75" s="320">
        <f t="shared" ref="AG75:AG103" si="220">R75-W75-AB75</f>
        <v>0.48558687499999997</v>
      </c>
      <c r="AH75" s="321">
        <f t="shared" ref="AH75:AH103" si="221">(K75+H75)*60*365/1000000</f>
        <v>28.010100000000001</v>
      </c>
      <c r="AI75" s="323">
        <f t="shared" ref="AI75:AI103" si="222">($K75+$H75)*110*365/1000000</f>
        <v>51.351849999999999</v>
      </c>
      <c r="AJ75" s="323">
        <f t="shared" ref="AJ75:AJ103" si="223">($K75+$H75)*70*365/1000000</f>
        <v>32.678449999999998</v>
      </c>
      <c r="AK75" s="323">
        <f t="shared" ref="AK75:AK103" si="224">($K75+$H75)*10*365/1000000</f>
        <v>4.6683500000000002</v>
      </c>
      <c r="AL75" s="324">
        <f t="shared" ref="AL75:AL103" si="225">($K75+$H75)*2*365/1000000</f>
        <v>0.93367</v>
      </c>
      <c r="AM75" s="325">
        <v>0.9</v>
      </c>
      <c r="AN75" s="325">
        <v>0.75</v>
      </c>
      <c r="AO75" s="325">
        <v>0.9</v>
      </c>
      <c r="AP75" s="325">
        <v>0.1</v>
      </c>
      <c r="AQ75" s="325">
        <v>0.1</v>
      </c>
      <c r="AR75" s="324">
        <f t="shared" ref="AR75:AR103" si="226">(S75+AH75)*AM75</f>
        <v>26.230807125000002</v>
      </c>
      <c r="AS75" s="324">
        <f t="shared" ref="AS75:AS103" si="227">(T75+AI75)*AN75</f>
        <v>39.692791874999998</v>
      </c>
      <c r="AT75" s="324">
        <f t="shared" ref="AT75:AT103" si="228">(U75+AJ75)*AO75</f>
        <v>30.746696624999998</v>
      </c>
      <c r="AU75" s="324">
        <f t="shared" ref="AU75:AU103" si="229">(V75+AK75)*AP75</f>
        <v>0.48866656250000001</v>
      </c>
      <c r="AV75" s="324">
        <f t="shared" ref="AV75:AV103" si="230">(W75+AL75)*AQ75</f>
        <v>9.7733312500000002E-2</v>
      </c>
      <c r="AW75" s="324">
        <f t="shared" ref="AW75:AW103" si="231">S75+AH75-AR75</f>
        <v>2.9145341249999994</v>
      </c>
      <c r="AX75" s="324">
        <f t="shared" ref="AX75:AX103" si="232">T75+AI75-AS75</f>
        <v>13.230930624999999</v>
      </c>
      <c r="AY75" s="324">
        <f t="shared" ref="AY75:AY103" si="233">U75+AJ75-AT75</f>
        <v>3.4162996250000006</v>
      </c>
      <c r="AZ75" s="324">
        <f t="shared" ref="AZ75:AZ103" si="234">V75+AK75-AU75</f>
        <v>4.3979990625000003</v>
      </c>
      <c r="BA75" s="326">
        <f t="shared" ref="BA75:BA103" si="235">W75+AL75-AV75</f>
        <v>0.87959981249999997</v>
      </c>
      <c r="BB75" s="327">
        <f t="shared" ref="BB75:BB103" si="236">N75+AH75</f>
        <v>43.887599999999999</v>
      </c>
      <c r="BC75" s="329">
        <f t="shared" ref="BC75:BC103" si="237">O75+AI75</f>
        <v>80.460599999999999</v>
      </c>
      <c r="BD75" s="329">
        <f t="shared" ref="BD75:BD103" si="238">P75+AJ75</f>
        <v>51.202199999999998</v>
      </c>
      <c r="BE75" s="330">
        <f t="shared" ref="BE75:BE103" si="239">Q75+AK75</f>
        <v>7.3146000000000004</v>
      </c>
      <c r="BF75" s="330">
        <f t="shared" ref="BF75:BF103" si="240">R75+AL75</f>
        <v>1.46292</v>
      </c>
      <c r="BG75" s="329">
        <f t="shared" ref="BG75:BG103" si="241">AC75+AW75</f>
        <v>15.997594124999999</v>
      </c>
      <c r="BH75" s="329">
        <f t="shared" ref="BH75:BH103" si="242">AD75+AX75</f>
        <v>38.497325625000002</v>
      </c>
      <c r="BI75" s="329">
        <f t="shared" ref="BI75:BI103" si="243">AE75+AY75</f>
        <v>18.883630875000001</v>
      </c>
      <c r="BJ75" s="330">
        <f t="shared" ref="BJ75:BJ103" si="244">AF75+AZ75</f>
        <v>6.8259334374999998</v>
      </c>
      <c r="BK75" s="330">
        <f t="shared" ref="BK75:BK103" si="245">AG75+BA75</f>
        <v>1.3651866875000001</v>
      </c>
      <c r="BL75" s="329">
        <f t="shared" ref="BL75:BL103" si="246">X75+AR75</f>
        <v>27.890005875000003</v>
      </c>
      <c r="BM75" s="329">
        <f t="shared" ref="BM75:BM103" si="247">Y75+AS75</f>
        <v>41.963274374999997</v>
      </c>
      <c r="BN75" s="329">
        <f t="shared" ref="BN75:BN103" si="248">Z75+AT75</f>
        <v>32.318569124999996</v>
      </c>
      <c r="BO75" s="330">
        <f t="shared" ref="BO75:BO103" si="249">AA75+AU75</f>
        <v>0.48866656250000001</v>
      </c>
      <c r="BP75" s="331">
        <f t="shared" ref="BP75:BP103" si="250">AB75+AV75</f>
        <v>9.7733312500000002E-2</v>
      </c>
      <c r="BQ75" s="33">
        <v>281006</v>
      </c>
      <c r="BR75" s="8">
        <v>80776</v>
      </c>
      <c r="BS75" t="s">
        <v>129</v>
      </c>
    </row>
    <row r="76" spans="1:72" s="350" customFormat="1" ht="16.5" thickBot="1" x14ac:dyDescent="0.3">
      <c r="A76" s="352"/>
      <c r="B76" s="455" t="s">
        <v>358</v>
      </c>
      <c r="C76" s="456"/>
      <c r="D76" s="456"/>
      <c r="E76" s="457"/>
      <c r="F76" s="353"/>
      <c r="G76" s="309">
        <f>SUM(G63:G75)</f>
        <v>178484</v>
      </c>
      <c r="H76" s="309">
        <f t="shared" ref="H76:R76" si="251">SUM(H63:H75)</f>
        <v>18061</v>
      </c>
      <c r="I76" s="309">
        <f t="shared" si="251"/>
        <v>196545</v>
      </c>
      <c r="J76" s="333">
        <f>K76/G76</f>
        <v>0.86798816700656645</v>
      </c>
      <c r="K76" s="309">
        <f t="shared" si="251"/>
        <v>154922</v>
      </c>
      <c r="L76" s="333">
        <f>M76/G76</f>
        <v>0.13201183299343358</v>
      </c>
      <c r="M76" s="309">
        <f t="shared" si="251"/>
        <v>23562</v>
      </c>
      <c r="N76" s="316">
        <f t="shared" si="251"/>
        <v>516.00779999999986</v>
      </c>
      <c r="O76" s="316">
        <f t="shared" si="251"/>
        <v>946.01429999999993</v>
      </c>
      <c r="P76" s="316">
        <f t="shared" si="251"/>
        <v>602.00909999999988</v>
      </c>
      <c r="Q76" s="316">
        <f t="shared" si="251"/>
        <v>86.001300000000001</v>
      </c>
      <c r="R76" s="316">
        <f t="shared" si="251"/>
        <v>17.20026</v>
      </c>
      <c r="S76" s="316">
        <f t="shared" ref="S76" si="252">SUM(S63:S75)</f>
        <v>36.894557700000007</v>
      </c>
      <c r="T76" s="316">
        <f t="shared" ref="T76" si="253">SUM(T63:T75)</f>
        <v>51.084772199999996</v>
      </c>
      <c r="U76" s="316">
        <f t="shared" ref="U76" si="254">SUM(U63:U75)</f>
        <v>48.246729300000005</v>
      </c>
      <c r="V76" s="316">
        <f t="shared" ref="V76" si="255">SUM(V63:V75)</f>
        <v>7.095107249999999</v>
      </c>
      <c r="W76" s="316">
        <f t="shared" ref="W76" si="256">SUM(W63:W75)</f>
        <v>1.4190214499999998</v>
      </c>
      <c r="X76" s="316">
        <f t="shared" ref="X76" si="257">SUM(X63:X75)</f>
        <v>53.922815100000015</v>
      </c>
      <c r="Y76" s="316">
        <f t="shared" ref="Y76" si="258">SUM(Y63:Y75)</f>
        <v>73.789115400000014</v>
      </c>
      <c r="Z76" s="316">
        <f t="shared" ref="Z76" si="259">SUM(Z63:Z75)</f>
        <v>51.084772199999996</v>
      </c>
      <c r="AA76" s="316">
        <f t="shared" ref="AA76" si="260">SUM(AA63:AA75)</f>
        <v>0</v>
      </c>
      <c r="AB76" s="316">
        <f t="shared" ref="AB76:AC76" si="261">SUM(AB63:AB75)</f>
        <v>0</v>
      </c>
      <c r="AC76" s="316">
        <f t="shared" si="261"/>
        <v>425.19042719999999</v>
      </c>
      <c r="AD76" s="316">
        <f t="shared" ref="AD76" si="262">SUM(AD63:AD75)</f>
        <v>821.14041239999972</v>
      </c>
      <c r="AE76" s="316">
        <f t="shared" ref="AE76" si="263">SUM(AE63:AE75)</f>
        <v>502.67759850000004</v>
      </c>
      <c r="AF76" s="316">
        <f t="shared" ref="AF76" si="264">SUM(AF63:AF75)</f>
        <v>78.906192750000017</v>
      </c>
      <c r="AG76" s="316">
        <f t="shared" ref="AG76" si="265">SUM(AG63:AG75)</f>
        <v>15.781238549999999</v>
      </c>
      <c r="AH76" s="322">
        <f t="shared" ref="AH76" si="266">SUM(AH63:AH75)</f>
        <v>3788.3276999999994</v>
      </c>
      <c r="AI76" s="322">
        <f t="shared" ref="AI76" si="267">SUM(AI63:AI75)</f>
        <v>6945.2674500000003</v>
      </c>
      <c r="AJ76" s="322">
        <f t="shared" ref="AJ76:AK76" si="268">SUM(AJ63:AJ75)</f>
        <v>4419.715650000001</v>
      </c>
      <c r="AK76" s="322">
        <f t="shared" si="268"/>
        <v>631.38795000000016</v>
      </c>
      <c r="AL76" s="322">
        <f t="shared" ref="AL76" si="269">SUM(AL63:AL75)</f>
        <v>126.27759000000002</v>
      </c>
      <c r="AM76" s="322"/>
      <c r="AN76" s="322"/>
      <c r="AO76" s="322"/>
      <c r="AP76" s="322"/>
      <c r="AQ76" s="322"/>
      <c r="AR76" s="322">
        <f t="shared" ref="AR76" si="270">SUM(AR63:AR75)</f>
        <v>3442.7000319299996</v>
      </c>
      <c r="AS76" s="322">
        <f t="shared" ref="AS76" si="271">SUM(AS63:AS75)</f>
        <v>5247.2641666500003</v>
      </c>
      <c r="AT76" s="322">
        <f t="shared" ref="AT76" si="272">SUM(AT63:AT75)</f>
        <v>4021.1661413699999</v>
      </c>
      <c r="AU76" s="322">
        <f t="shared" ref="AU76" si="273">SUM(AU63:AU75)</f>
        <v>447.27833741250009</v>
      </c>
      <c r="AV76" s="322">
        <f t="shared" ref="AV76" si="274">SUM(AV63:AV75)</f>
        <v>89.455667482500019</v>
      </c>
      <c r="AW76" s="322">
        <f t="shared" ref="AW76" si="275">SUM(AW63:AW75)</f>
        <v>382.52222576999998</v>
      </c>
      <c r="AX76" s="322">
        <f t="shared" ref="AX76" si="276">SUM(AX63:AX75)</f>
        <v>1749.08805555</v>
      </c>
      <c r="AY76" s="322">
        <f t="shared" ref="AY76" si="277">SUM(AY63:AY75)</f>
        <v>446.79623792999996</v>
      </c>
      <c r="AZ76" s="322">
        <f t="shared" ref="AZ76" si="278">SUM(AZ63:AZ75)</f>
        <v>191.20471983749997</v>
      </c>
      <c r="BA76" s="322">
        <f t="shared" ref="BA76" si="279">SUM(BA63:BA75)</f>
        <v>38.240943967499994</v>
      </c>
      <c r="BB76" s="328">
        <f t="shared" ref="BB76" si="280">SUM(BB63:BB75)</f>
        <v>4304.3355000000001</v>
      </c>
      <c r="BC76" s="328">
        <f t="shared" ref="BC76" si="281">SUM(BC63:BC75)</f>
        <v>7891.281750000001</v>
      </c>
      <c r="BD76" s="328">
        <f t="shared" ref="BD76" si="282">SUM(BD63:BD75)</f>
        <v>5021.7247500000003</v>
      </c>
      <c r="BE76" s="328">
        <f t="shared" ref="BE76" si="283">SUM(BE63:BE75)</f>
        <v>717.38925000000006</v>
      </c>
      <c r="BF76" s="328">
        <f t="shared" ref="BF76" si="284">SUM(BF63:BF75)</f>
        <v>143.47785000000002</v>
      </c>
      <c r="BG76" s="328">
        <f t="shared" ref="BG76" si="285">SUM(BG63:BG75)</f>
        <v>807.71265296999991</v>
      </c>
      <c r="BH76" s="328">
        <f t="shared" ref="BH76" si="286">SUM(BH63:BH75)</f>
        <v>2570.2284679500008</v>
      </c>
      <c r="BI76" s="328">
        <f t="shared" ref="BI76" si="287">SUM(BI63:BI75)</f>
        <v>949.47383643000001</v>
      </c>
      <c r="BJ76" s="328">
        <f t="shared" ref="BJ76" si="288">SUM(BJ63:BJ75)</f>
        <v>270.11091258750002</v>
      </c>
      <c r="BK76" s="328">
        <f t="shared" ref="BK76" si="289">SUM(BK63:BK75)</f>
        <v>54.022182517499999</v>
      </c>
      <c r="BL76" s="328">
        <f t="shared" ref="BL76" si="290">SUM(BL63:BL75)</f>
        <v>3496.6228470299998</v>
      </c>
      <c r="BM76" s="328">
        <f t="shared" ref="BM76" si="291">SUM(BM63:BM75)</f>
        <v>5321.0532820500002</v>
      </c>
      <c r="BN76" s="328">
        <f t="shared" ref="BN76:BO76" si="292">SUM(BN63:BN75)</f>
        <v>4072.2509135700002</v>
      </c>
      <c r="BO76" s="328">
        <f t="shared" si="292"/>
        <v>447.27833741250009</v>
      </c>
      <c r="BP76" s="328">
        <f t="shared" ref="BP76" si="293">SUM(BP63:BP75)</f>
        <v>89.455667482500019</v>
      </c>
      <c r="BQ76" s="348"/>
      <c r="BR76" s="349"/>
    </row>
    <row r="77" spans="1:72" ht="19.5" thickBot="1" x14ac:dyDescent="0.35">
      <c r="A77" s="303"/>
      <c r="B77" s="459" t="s">
        <v>372</v>
      </c>
      <c r="C77" s="460"/>
      <c r="D77" s="460"/>
      <c r="E77" s="460"/>
      <c r="F77" s="460"/>
      <c r="G77" s="460"/>
      <c r="H77" s="460"/>
      <c r="I77" s="461"/>
      <c r="J77" s="122"/>
      <c r="K77" s="123"/>
      <c r="L77" s="124"/>
      <c r="M77" s="125"/>
      <c r="N77" s="129"/>
      <c r="O77" s="182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81"/>
      <c r="AD77" s="181"/>
      <c r="AE77" s="181"/>
      <c r="AF77" s="181"/>
      <c r="AG77" s="181"/>
      <c r="AH77" s="134"/>
      <c r="AI77" s="135"/>
      <c r="AJ77" s="135"/>
      <c r="AK77" s="135"/>
      <c r="AL77" s="135"/>
      <c r="AM77" s="136"/>
      <c r="AN77" s="136"/>
      <c r="AO77" s="136"/>
      <c r="AP77" s="136"/>
      <c r="AQ77" s="136"/>
      <c r="AR77" s="135"/>
      <c r="AS77" s="135"/>
      <c r="AT77" s="135"/>
      <c r="AU77" s="135"/>
      <c r="AV77" s="135"/>
      <c r="AW77" s="135"/>
      <c r="AX77" s="135"/>
      <c r="AY77" s="135"/>
      <c r="AZ77" s="135"/>
      <c r="BA77" s="137"/>
      <c r="BB77" s="143"/>
      <c r="BC77" s="144"/>
      <c r="BD77" s="144"/>
      <c r="BE77" s="285"/>
      <c r="BF77" s="285"/>
      <c r="BG77" s="144"/>
      <c r="BH77" s="144"/>
      <c r="BI77" s="144"/>
      <c r="BJ77" s="285"/>
      <c r="BK77" s="285"/>
      <c r="BL77" s="144"/>
      <c r="BM77" s="144"/>
      <c r="BN77" s="144"/>
      <c r="BO77" s="285"/>
      <c r="BP77" s="286"/>
      <c r="BQ77" s="33"/>
      <c r="BR77" s="8"/>
    </row>
    <row r="78" spans="1:72" x14ac:dyDescent="0.25">
      <c r="A78" s="46"/>
      <c r="B78" s="52">
        <v>1</v>
      </c>
      <c r="C78" s="53" t="s">
        <v>44</v>
      </c>
      <c r="D78" s="118">
        <v>699203</v>
      </c>
      <c r="E78" s="103" t="s">
        <v>128</v>
      </c>
      <c r="F78" s="36" t="s">
        <v>244</v>
      </c>
      <c r="G78" s="110">
        <v>620000</v>
      </c>
      <c r="H78" s="110">
        <f>839914-697175</f>
        <v>142739</v>
      </c>
      <c r="I78" s="107">
        <f t="shared" si="200"/>
        <v>762739</v>
      </c>
      <c r="J78" s="98">
        <f t="shared" si="197"/>
        <v>0.97799999999999998</v>
      </c>
      <c r="K78" s="99">
        <f>G78*97.8%</f>
        <v>606360</v>
      </c>
      <c r="L78" s="94">
        <f t="shared" si="198"/>
        <v>2.1999999999999999E-2</v>
      </c>
      <c r="M78" s="89">
        <f t="shared" si="199"/>
        <v>13640</v>
      </c>
      <c r="N78" s="91">
        <f t="shared" si="201"/>
        <v>298.71600000000001</v>
      </c>
      <c r="O78" s="182">
        <f t="shared" si="202"/>
        <v>547.64599999999996</v>
      </c>
      <c r="P78" s="130">
        <f t="shared" si="203"/>
        <v>348.50200000000001</v>
      </c>
      <c r="Q78" s="130">
        <f t="shared" si="204"/>
        <v>49.786000000000001</v>
      </c>
      <c r="R78" s="64">
        <f t="shared" si="205"/>
        <v>9.9572000000000003</v>
      </c>
      <c r="S78" s="130">
        <f t="shared" si="206"/>
        <v>21.358194000000001</v>
      </c>
      <c r="T78" s="130">
        <f t="shared" si="207"/>
        <v>29.572884000000002</v>
      </c>
      <c r="U78" s="130">
        <f t="shared" si="208"/>
        <v>27.929946000000001</v>
      </c>
      <c r="V78" s="130">
        <f t="shared" si="209"/>
        <v>4.1073450000000005</v>
      </c>
      <c r="W78" s="130">
        <f t="shared" si="210"/>
        <v>0.82146900000000012</v>
      </c>
      <c r="X78" s="130">
        <f t="shared" si="211"/>
        <v>31.215822000000003</v>
      </c>
      <c r="Y78" s="130">
        <f t="shared" si="212"/>
        <v>42.716388000000002</v>
      </c>
      <c r="Z78" s="130">
        <f t="shared" si="213"/>
        <v>29.572884000000002</v>
      </c>
      <c r="AA78" s="130">
        <f t="shared" si="214"/>
        <v>0</v>
      </c>
      <c r="AB78" s="130">
        <f t="shared" si="215"/>
        <v>0</v>
      </c>
      <c r="AC78" s="181">
        <f t="shared" si="216"/>
        <v>246.14198399999998</v>
      </c>
      <c r="AD78" s="181">
        <f t="shared" si="217"/>
        <v>475.35672799999992</v>
      </c>
      <c r="AE78" s="181">
        <f t="shared" si="218"/>
        <v>290.99916999999999</v>
      </c>
      <c r="AF78" s="181">
        <f t="shared" si="219"/>
        <v>45.678654999999999</v>
      </c>
      <c r="AG78" s="181">
        <f t="shared" si="220"/>
        <v>9.1357309999999998</v>
      </c>
      <c r="AH78" s="85">
        <f t="shared" si="221"/>
        <v>16405.268100000001</v>
      </c>
      <c r="AI78" s="135">
        <f t="shared" si="222"/>
        <v>30076.324850000001</v>
      </c>
      <c r="AJ78" s="135">
        <f t="shared" si="223"/>
        <v>19139.479449999999</v>
      </c>
      <c r="AK78" s="135">
        <f t="shared" si="224"/>
        <v>2734.21135</v>
      </c>
      <c r="AL78" s="65">
        <f t="shared" si="225"/>
        <v>546.84226999999998</v>
      </c>
      <c r="AM78" s="66">
        <v>0.9</v>
      </c>
      <c r="AN78" s="66">
        <v>0.75</v>
      </c>
      <c r="AO78" s="66">
        <v>0.9</v>
      </c>
      <c r="AP78" s="66">
        <v>0.8</v>
      </c>
      <c r="AQ78" s="66">
        <v>0.8</v>
      </c>
      <c r="AR78" s="65">
        <f t="shared" si="226"/>
        <v>14783.963664600002</v>
      </c>
      <c r="AS78" s="65">
        <f t="shared" si="227"/>
        <v>22579.423300500002</v>
      </c>
      <c r="AT78" s="65">
        <f t="shared" si="228"/>
        <v>17250.668456399999</v>
      </c>
      <c r="AU78" s="65">
        <f t="shared" si="229"/>
        <v>2190.6549559999999</v>
      </c>
      <c r="AV78" s="65">
        <f t="shared" si="230"/>
        <v>438.13099119999998</v>
      </c>
      <c r="AW78" s="65">
        <f t="shared" si="231"/>
        <v>1642.6626293999998</v>
      </c>
      <c r="AX78" s="65">
        <f t="shared" si="232"/>
        <v>7526.4744334999996</v>
      </c>
      <c r="AY78" s="65">
        <f t="shared" si="233"/>
        <v>1916.7409396000003</v>
      </c>
      <c r="AZ78" s="65">
        <f t="shared" si="234"/>
        <v>547.66373900000008</v>
      </c>
      <c r="BA78" s="86">
        <f t="shared" si="235"/>
        <v>109.53274779999998</v>
      </c>
      <c r="BB78" s="83">
        <f t="shared" si="236"/>
        <v>16703.984100000001</v>
      </c>
      <c r="BC78" s="67">
        <f t="shared" si="237"/>
        <v>30623.970850000002</v>
      </c>
      <c r="BD78" s="67">
        <f t="shared" si="238"/>
        <v>19487.981449999999</v>
      </c>
      <c r="BE78" s="67">
        <f t="shared" si="239"/>
        <v>2783.9973500000001</v>
      </c>
      <c r="BF78" s="67">
        <f t="shared" si="240"/>
        <v>556.79946999999993</v>
      </c>
      <c r="BG78" s="67">
        <f t="shared" si="241"/>
        <v>1888.8046133999997</v>
      </c>
      <c r="BH78" s="67">
        <f t="shared" si="242"/>
        <v>8001.8311614999993</v>
      </c>
      <c r="BI78" s="67">
        <f t="shared" si="243"/>
        <v>2207.7401096000003</v>
      </c>
      <c r="BJ78" s="67">
        <f t="shared" si="244"/>
        <v>593.34239400000013</v>
      </c>
      <c r="BK78" s="67">
        <f t="shared" si="245"/>
        <v>118.66847879999997</v>
      </c>
      <c r="BL78" s="67">
        <f t="shared" si="246"/>
        <v>14815.179486600002</v>
      </c>
      <c r="BM78" s="67">
        <f t="shared" si="247"/>
        <v>22622.139688500003</v>
      </c>
      <c r="BN78" s="67">
        <f t="shared" si="248"/>
        <v>17280.2413404</v>
      </c>
      <c r="BO78" s="67">
        <f t="shared" si="249"/>
        <v>2190.6549559999999</v>
      </c>
      <c r="BP78" s="287">
        <f t="shared" si="250"/>
        <v>438.13099119999998</v>
      </c>
      <c r="BQ78" s="62" t="s">
        <v>187</v>
      </c>
      <c r="BR78" s="7" t="s">
        <v>187</v>
      </c>
      <c r="BS78" s="1"/>
      <c r="BT78" s="1"/>
    </row>
    <row r="79" spans="1:72" x14ac:dyDescent="0.25">
      <c r="A79" s="52"/>
      <c r="B79" s="52">
        <v>3</v>
      </c>
      <c r="C79" s="53" t="s">
        <v>46</v>
      </c>
      <c r="D79" s="118">
        <v>82413</v>
      </c>
      <c r="E79" s="103" t="s">
        <v>128</v>
      </c>
      <c r="F79" s="36" t="s">
        <v>244</v>
      </c>
      <c r="G79" s="110">
        <v>85000</v>
      </c>
      <c r="H79" s="110">
        <v>11077</v>
      </c>
      <c r="I79" s="107">
        <f t="shared" si="200"/>
        <v>96077</v>
      </c>
      <c r="J79" s="98">
        <f t="shared" si="197"/>
        <v>0.97</v>
      </c>
      <c r="K79" s="99">
        <f>G79*0.97</f>
        <v>82450</v>
      </c>
      <c r="L79" s="94">
        <f t="shared" si="198"/>
        <v>0.03</v>
      </c>
      <c r="M79" s="89">
        <f t="shared" si="199"/>
        <v>2550</v>
      </c>
      <c r="N79" s="91">
        <f t="shared" si="201"/>
        <v>55.844999999999999</v>
      </c>
      <c r="O79" s="182">
        <f t="shared" si="202"/>
        <v>102.38249999999999</v>
      </c>
      <c r="P79" s="130">
        <f t="shared" si="203"/>
        <v>65.152500000000003</v>
      </c>
      <c r="Q79" s="130">
        <f t="shared" si="204"/>
        <v>9.3074999999999992</v>
      </c>
      <c r="R79" s="64">
        <f t="shared" si="205"/>
        <v>1.8614999999999999</v>
      </c>
      <c r="S79" s="130">
        <f t="shared" si="206"/>
        <v>3.9929175000000003</v>
      </c>
      <c r="T79" s="130">
        <f t="shared" si="207"/>
        <v>5.5286549999999997</v>
      </c>
      <c r="U79" s="130">
        <f t="shared" si="208"/>
        <v>5.2215075000000004</v>
      </c>
      <c r="V79" s="130">
        <f t="shared" si="209"/>
        <v>0.76786874999999999</v>
      </c>
      <c r="W79" s="130">
        <f t="shared" si="210"/>
        <v>0.15357375000000001</v>
      </c>
      <c r="X79" s="130">
        <f t="shared" si="211"/>
        <v>5.8358024999999998</v>
      </c>
      <c r="Y79" s="130">
        <f t="shared" si="212"/>
        <v>7.9858350000000007</v>
      </c>
      <c r="Z79" s="130">
        <f t="shared" si="213"/>
        <v>5.5286549999999997</v>
      </c>
      <c r="AA79" s="130">
        <f t="shared" si="214"/>
        <v>0</v>
      </c>
      <c r="AB79" s="130">
        <f t="shared" si="215"/>
        <v>0</v>
      </c>
      <c r="AC79" s="181">
        <f t="shared" si="216"/>
        <v>46.016280000000002</v>
      </c>
      <c r="AD79" s="181">
        <f t="shared" si="217"/>
        <v>88.868009999999998</v>
      </c>
      <c r="AE79" s="181">
        <f t="shared" si="218"/>
        <v>54.402337500000002</v>
      </c>
      <c r="AF79" s="181">
        <f t="shared" si="219"/>
        <v>8.5396312499999993</v>
      </c>
      <c r="AG79" s="181">
        <f t="shared" si="220"/>
        <v>1.7079262499999999</v>
      </c>
      <c r="AH79" s="85">
        <f t="shared" si="221"/>
        <v>2048.2413000000001</v>
      </c>
      <c r="AI79" s="135">
        <f t="shared" si="222"/>
        <v>3755.10905</v>
      </c>
      <c r="AJ79" s="135">
        <f t="shared" si="223"/>
        <v>2389.6148499999999</v>
      </c>
      <c r="AK79" s="135">
        <f t="shared" si="224"/>
        <v>341.37355000000002</v>
      </c>
      <c r="AL79" s="65">
        <f t="shared" si="225"/>
        <v>68.274709999999999</v>
      </c>
      <c r="AM79" s="66">
        <v>0.9</v>
      </c>
      <c r="AN79" s="66">
        <v>0.75</v>
      </c>
      <c r="AO79" s="66">
        <v>0.9</v>
      </c>
      <c r="AP79" s="66">
        <v>0.8</v>
      </c>
      <c r="AQ79" s="66">
        <v>0.8</v>
      </c>
      <c r="AR79" s="65">
        <f t="shared" si="226"/>
        <v>1847.0107957500004</v>
      </c>
      <c r="AS79" s="65">
        <f t="shared" si="227"/>
        <v>2820.4782787499998</v>
      </c>
      <c r="AT79" s="65">
        <f t="shared" si="228"/>
        <v>2155.35272175</v>
      </c>
      <c r="AU79" s="65">
        <f t="shared" si="229"/>
        <v>273.71313500000002</v>
      </c>
      <c r="AV79" s="65">
        <f t="shared" si="230"/>
        <v>54.742627000000006</v>
      </c>
      <c r="AW79" s="65">
        <f t="shared" si="231"/>
        <v>205.22342174999994</v>
      </c>
      <c r="AX79" s="65">
        <f t="shared" si="232"/>
        <v>940.15942625000025</v>
      </c>
      <c r="AY79" s="65">
        <f t="shared" si="233"/>
        <v>239.48363574999985</v>
      </c>
      <c r="AZ79" s="65">
        <f t="shared" si="234"/>
        <v>68.428283749999991</v>
      </c>
      <c r="BA79" s="86">
        <f t="shared" si="235"/>
        <v>13.68565675</v>
      </c>
      <c r="BB79" s="83">
        <f t="shared" si="236"/>
        <v>2104.0862999999999</v>
      </c>
      <c r="BC79" s="67">
        <f t="shared" si="237"/>
        <v>3857.4915500000002</v>
      </c>
      <c r="BD79" s="67">
        <f t="shared" si="238"/>
        <v>2454.7673500000001</v>
      </c>
      <c r="BE79" s="68">
        <f t="shared" si="239"/>
        <v>350.68105000000003</v>
      </c>
      <c r="BF79" s="68">
        <f t="shared" si="240"/>
        <v>70.136210000000005</v>
      </c>
      <c r="BG79" s="67">
        <f t="shared" si="241"/>
        <v>251.23970174999994</v>
      </c>
      <c r="BH79" s="67">
        <f t="shared" si="242"/>
        <v>1029.0274362500002</v>
      </c>
      <c r="BI79" s="67">
        <f t="shared" si="243"/>
        <v>293.88597324999984</v>
      </c>
      <c r="BJ79" s="68">
        <f t="shared" si="244"/>
        <v>76.967914999999991</v>
      </c>
      <c r="BK79" s="68">
        <f t="shared" si="245"/>
        <v>15.393583</v>
      </c>
      <c r="BL79" s="67">
        <f t="shared" si="246"/>
        <v>1852.8465982500004</v>
      </c>
      <c r="BM79" s="67">
        <f t="shared" si="247"/>
        <v>2828.4641137499998</v>
      </c>
      <c r="BN79" s="67">
        <f t="shared" si="248"/>
        <v>2160.8813767500001</v>
      </c>
      <c r="BO79" s="68">
        <f t="shared" si="249"/>
        <v>273.71313500000002</v>
      </c>
      <c r="BP79" s="76">
        <f t="shared" si="250"/>
        <v>54.742627000000006</v>
      </c>
      <c r="BQ79" s="33">
        <v>1846880</v>
      </c>
      <c r="BR79" s="8">
        <v>14561180</v>
      </c>
      <c r="BS79" t="s">
        <v>129</v>
      </c>
    </row>
    <row r="80" spans="1:72" x14ac:dyDescent="0.25">
      <c r="A80" s="52"/>
      <c r="B80" s="52">
        <v>6</v>
      </c>
      <c r="C80" s="53" t="s">
        <v>50</v>
      </c>
      <c r="D80" s="118">
        <v>38082</v>
      </c>
      <c r="E80" s="103" t="s">
        <v>128</v>
      </c>
      <c r="F80" s="36" t="s">
        <v>244</v>
      </c>
      <c r="G80" s="110">
        <v>39492</v>
      </c>
      <c r="H80" s="110">
        <v>1226</v>
      </c>
      <c r="I80" s="107">
        <f t="shared" si="200"/>
        <v>40718</v>
      </c>
      <c r="J80" s="98">
        <f t="shared" si="197"/>
        <v>0.98457915527195383</v>
      </c>
      <c r="K80" s="99">
        <v>38883</v>
      </c>
      <c r="L80" s="94">
        <f t="shared" si="198"/>
        <v>1.5420844728046187E-2</v>
      </c>
      <c r="M80" s="89">
        <f t="shared" si="199"/>
        <v>609</v>
      </c>
      <c r="N80" s="91">
        <f t="shared" si="201"/>
        <v>13.3371</v>
      </c>
      <c r="O80" s="182">
        <f t="shared" si="202"/>
        <v>24.451350000000001</v>
      </c>
      <c r="P80" s="130">
        <f t="shared" si="203"/>
        <v>15.559950000000001</v>
      </c>
      <c r="Q80" s="130">
        <f t="shared" si="204"/>
        <v>2.2228500000000002</v>
      </c>
      <c r="R80" s="64">
        <f t="shared" si="205"/>
        <v>0.44457000000000002</v>
      </c>
      <c r="S80" s="130">
        <f t="shared" si="206"/>
        <v>0.95360265000000011</v>
      </c>
      <c r="T80" s="130">
        <f t="shared" si="207"/>
        <v>1.3203729</v>
      </c>
      <c r="U80" s="130">
        <f t="shared" si="208"/>
        <v>1.2470188500000001</v>
      </c>
      <c r="V80" s="130">
        <f t="shared" si="209"/>
        <v>0.18338512500000004</v>
      </c>
      <c r="W80" s="130">
        <f t="shared" si="210"/>
        <v>3.6677025000000002E-2</v>
      </c>
      <c r="X80" s="130">
        <f t="shared" si="211"/>
        <v>1.39372695</v>
      </c>
      <c r="Y80" s="130">
        <f t="shared" si="212"/>
        <v>1.9072053000000002</v>
      </c>
      <c r="Z80" s="130">
        <f t="shared" si="213"/>
        <v>1.3203729</v>
      </c>
      <c r="AA80" s="130">
        <f t="shared" si="214"/>
        <v>0</v>
      </c>
      <c r="AB80" s="130">
        <f t="shared" si="215"/>
        <v>0</v>
      </c>
      <c r="AC80" s="181">
        <f t="shared" si="216"/>
        <v>10.989770399999999</v>
      </c>
      <c r="AD80" s="181">
        <f t="shared" si="217"/>
        <v>21.223771800000002</v>
      </c>
      <c r="AE80" s="181">
        <f t="shared" si="218"/>
        <v>12.99255825</v>
      </c>
      <c r="AF80" s="181">
        <f t="shared" si="219"/>
        <v>2.0394648750000002</v>
      </c>
      <c r="AG80" s="181">
        <f t="shared" si="220"/>
        <v>0.40789297499999999</v>
      </c>
      <c r="AH80" s="85">
        <f t="shared" si="221"/>
        <v>878.38710000000003</v>
      </c>
      <c r="AI80" s="135">
        <f t="shared" si="222"/>
        <v>1610.37635</v>
      </c>
      <c r="AJ80" s="135">
        <f t="shared" si="223"/>
        <v>1024.78495</v>
      </c>
      <c r="AK80" s="135">
        <f t="shared" si="224"/>
        <v>146.39785000000001</v>
      </c>
      <c r="AL80" s="65">
        <f t="shared" si="225"/>
        <v>29.27957</v>
      </c>
      <c r="AM80" s="66">
        <v>0.9</v>
      </c>
      <c r="AN80" s="66">
        <v>0.75</v>
      </c>
      <c r="AO80" s="66">
        <v>0.9</v>
      </c>
      <c r="AP80" s="66">
        <v>0.8</v>
      </c>
      <c r="AQ80" s="66">
        <v>0.8</v>
      </c>
      <c r="AR80" s="65">
        <f t="shared" si="226"/>
        <v>791.40663238500008</v>
      </c>
      <c r="AS80" s="65">
        <f t="shared" si="227"/>
        <v>1208.7725421749999</v>
      </c>
      <c r="AT80" s="65">
        <f t="shared" si="228"/>
        <v>923.4287719649999</v>
      </c>
      <c r="AU80" s="65">
        <f t="shared" si="229"/>
        <v>117.26498810000001</v>
      </c>
      <c r="AV80" s="65">
        <f t="shared" si="230"/>
        <v>23.452997620000001</v>
      </c>
      <c r="AW80" s="65">
        <f t="shared" si="231"/>
        <v>87.934070264999946</v>
      </c>
      <c r="AX80" s="65">
        <f t="shared" si="232"/>
        <v>402.92418072500004</v>
      </c>
      <c r="AY80" s="65">
        <f t="shared" si="233"/>
        <v>102.60319688499999</v>
      </c>
      <c r="AZ80" s="65">
        <f t="shared" si="234"/>
        <v>29.316247024999996</v>
      </c>
      <c r="BA80" s="86">
        <f t="shared" si="235"/>
        <v>5.8632494049999977</v>
      </c>
      <c r="BB80" s="83">
        <f t="shared" si="236"/>
        <v>891.7242</v>
      </c>
      <c r="BC80" s="67">
        <f t="shared" si="237"/>
        <v>1634.8277</v>
      </c>
      <c r="BD80" s="67">
        <f t="shared" si="238"/>
        <v>1040.3449000000001</v>
      </c>
      <c r="BE80" s="68">
        <f t="shared" si="239"/>
        <v>148.6207</v>
      </c>
      <c r="BF80" s="68">
        <f t="shared" si="240"/>
        <v>29.724139999999998</v>
      </c>
      <c r="BG80" s="67">
        <f t="shared" si="241"/>
        <v>98.923840664999943</v>
      </c>
      <c r="BH80" s="67">
        <f t="shared" si="242"/>
        <v>424.14795252500005</v>
      </c>
      <c r="BI80" s="67">
        <f t="shared" si="243"/>
        <v>115.59575513499999</v>
      </c>
      <c r="BJ80" s="68">
        <f t="shared" si="244"/>
        <v>31.355711899999996</v>
      </c>
      <c r="BK80" s="68">
        <f t="shared" si="245"/>
        <v>6.2711423799999979</v>
      </c>
      <c r="BL80" s="67">
        <f t="shared" si="246"/>
        <v>792.80035933500005</v>
      </c>
      <c r="BM80" s="67">
        <f t="shared" si="247"/>
        <v>1210.6797474749999</v>
      </c>
      <c r="BN80" s="67">
        <f t="shared" si="248"/>
        <v>924.74914486499995</v>
      </c>
      <c r="BO80" s="68">
        <f t="shared" si="249"/>
        <v>117.26498810000001</v>
      </c>
      <c r="BP80" s="76">
        <f t="shared" si="250"/>
        <v>23.452997620000001</v>
      </c>
      <c r="BQ80" s="33">
        <f>(298720+60000+144280+1842476+382812)*0.6</f>
        <v>1636972.8</v>
      </c>
      <c r="BR80" s="8">
        <f>(1854360+1896459)*0.6</f>
        <v>2250491.4</v>
      </c>
      <c r="BS80" t="s">
        <v>129</v>
      </c>
    </row>
    <row r="81" spans="1:71" x14ac:dyDescent="0.25">
      <c r="A81" s="52"/>
      <c r="B81" s="52">
        <v>20</v>
      </c>
      <c r="C81" s="53" t="s">
        <v>64</v>
      </c>
      <c r="D81" s="118">
        <v>9598</v>
      </c>
      <c r="E81" s="103" t="s">
        <v>193</v>
      </c>
      <c r="F81" s="36" t="s">
        <v>244</v>
      </c>
      <c r="G81" s="110">
        <v>12838</v>
      </c>
      <c r="H81" s="110">
        <v>0</v>
      </c>
      <c r="I81" s="107">
        <f t="shared" si="200"/>
        <v>12838</v>
      </c>
      <c r="J81" s="98">
        <f t="shared" si="197"/>
        <v>0.9299735161240068</v>
      </c>
      <c r="K81" s="99">
        <v>11939</v>
      </c>
      <c r="L81" s="94">
        <f t="shared" si="198"/>
        <v>7.002648387599314E-2</v>
      </c>
      <c r="M81" s="89">
        <f t="shared" si="199"/>
        <v>899</v>
      </c>
      <c r="N81" s="91">
        <f t="shared" si="201"/>
        <v>19.688099999999999</v>
      </c>
      <c r="O81" s="182">
        <f t="shared" si="202"/>
        <v>36.094850000000001</v>
      </c>
      <c r="P81" s="130">
        <f t="shared" si="203"/>
        <v>22.969449999999998</v>
      </c>
      <c r="Q81" s="130">
        <f t="shared" si="204"/>
        <v>3.2813500000000002</v>
      </c>
      <c r="R81" s="64">
        <f t="shared" si="205"/>
        <v>0.65627000000000002</v>
      </c>
      <c r="S81" s="130">
        <f t="shared" si="206"/>
        <v>1.4076991500000002</v>
      </c>
      <c r="T81" s="130">
        <f t="shared" si="207"/>
        <v>1.9491219000000002</v>
      </c>
      <c r="U81" s="130">
        <f t="shared" si="208"/>
        <v>1.8408373499999999</v>
      </c>
      <c r="V81" s="130">
        <f t="shared" si="209"/>
        <v>0.27071137500000003</v>
      </c>
      <c r="W81" s="130">
        <f t="shared" si="210"/>
        <v>5.4142275000000004E-2</v>
      </c>
      <c r="X81" s="130">
        <f t="shared" si="211"/>
        <v>2.0574064500000002</v>
      </c>
      <c r="Y81" s="130">
        <f t="shared" si="212"/>
        <v>2.8153983000000005</v>
      </c>
      <c r="Z81" s="130">
        <f t="shared" si="213"/>
        <v>1.9491219000000002</v>
      </c>
      <c r="AA81" s="130">
        <f t="shared" si="214"/>
        <v>0</v>
      </c>
      <c r="AB81" s="130">
        <f t="shared" si="215"/>
        <v>0</v>
      </c>
      <c r="AC81" s="181">
        <f t="shared" si="216"/>
        <v>16.222994399999997</v>
      </c>
      <c r="AD81" s="181">
        <f t="shared" si="217"/>
        <v>31.330329799999998</v>
      </c>
      <c r="AE81" s="181">
        <f t="shared" si="218"/>
        <v>19.179490749999996</v>
      </c>
      <c r="AF81" s="181">
        <f t="shared" si="219"/>
        <v>3.0106386250000003</v>
      </c>
      <c r="AG81" s="181">
        <f t="shared" si="220"/>
        <v>0.602127725</v>
      </c>
      <c r="AH81" s="85">
        <f t="shared" si="221"/>
        <v>261.46409999999997</v>
      </c>
      <c r="AI81" s="135">
        <f t="shared" si="222"/>
        <v>479.35084999999998</v>
      </c>
      <c r="AJ81" s="135">
        <f t="shared" si="223"/>
        <v>305.04145</v>
      </c>
      <c r="AK81" s="135">
        <f t="shared" si="224"/>
        <v>43.577350000000003</v>
      </c>
      <c r="AL81" s="65">
        <f t="shared" si="225"/>
        <v>8.7154699999999998</v>
      </c>
      <c r="AM81" s="66">
        <v>0.9</v>
      </c>
      <c r="AN81" s="66">
        <v>0.75</v>
      </c>
      <c r="AO81" s="66">
        <v>0.9</v>
      </c>
      <c r="AP81" s="66">
        <v>0.8</v>
      </c>
      <c r="AQ81" s="66">
        <v>0.8</v>
      </c>
      <c r="AR81" s="65">
        <f t="shared" si="226"/>
        <v>236.58461923499996</v>
      </c>
      <c r="AS81" s="65">
        <f t="shared" si="227"/>
        <v>360.97497892500002</v>
      </c>
      <c r="AT81" s="65">
        <f t="shared" si="228"/>
        <v>276.19405861500002</v>
      </c>
      <c r="AU81" s="65">
        <f t="shared" si="229"/>
        <v>35.0784491</v>
      </c>
      <c r="AV81" s="65">
        <f t="shared" si="230"/>
        <v>7.0156898200000004</v>
      </c>
      <c r="AW81" s="65">
        <f t="shared" si="231"/>
        <v>26.287179914999996</v>
      </c>
      <c r="AX81" s="65">
        <f t="shared" si="232"/>
        <v>120.32499297499999</v>
      </c>
      <c r="AY81" s="65">
        <f t="shared" si="233"/>
        <v>30.688228734999996</v>
      </c>
      <c r="AZ81" s="65">
        <f t="shared" si="234"/>
        <v>8.7696122750000001</v>
      </c>
      <c r="BA81" s="86">
        <f t="shared" si="235"/>
        <v>1.7539224549999997</v>
      </c>
      <c r="BB81" s="83">
        <f t="shared" si="236"/>
        <v>281.15219999999999</v>
      </c>
      <c r="BC81" s="67">
        <f t="shared" si="237"/>
        <v>515.44569999999999</v>
      </c>
      <c r="BD81" s="67">
        <f t="shared" si="238"/>
        <v>328.01089999999999</v>
      </c>
      <c r="BE81" s="68">
        <f t="shared" si="239"/>
        <v>46.858700000000006</v>
      </c>
      <c r="BF81" s="68">
        <f t="shared" si="240"/>
        <v>9.3717399999999991</v>
      </c>
      <c r="BG81" s="67">
        <f t="shared" si="241"/>
        <v>42.510174314999993</v>
      </c>
      <c r="BH81" s="67">
        <f t="shared" si="242"/>
        <v>151.65532277499997</v>
      </c>
      <c r="BI81" s="67">
        <f t="shared" si="243"/>
        <v>49.867719484999995</v>
      </c>
      <c r="BJ81" s="68">
        <f t="shared" si="244"/>
        <v>11.7802509</v>
      </c>
      <c r="BK81" s="68">
        <f t="shared" si="245"/>
        <v>2.3560501799999995</v>
      </c>
      <c r="BL81" s="67">
        <f t="shared" si="246"/>
        <v>238.64202568499996</v>
      </c>
      <c r="BM81" s="67">
        <f t="shared" si="247"/>
        <v>363.79037722500004</v>
      </c>
      <c r="BN81" s="67">
        <f t="shared" si="248"/>
        <v>278.14318051500004</v>
      </c>
      <c r="BO81" s="68">
        <f t="shared" si="249"/>
        <v>35.0784491</v>
      </c>
      <c r="BP81" s="76">
        <f t="shared" si="250"/>
        <v>7.0156898200000004</v>
      </c>
      <c r="BQ81" s="33">
        <v>1708700</v>
      </c>
      <c r="BR81" s="8">
        <v>0</v>
      </c>
      <c r="BS81" t="s">
        <v>129</v>
      </c>
    </row>
    <row r="82" spans="1:71" ht="30" x14ac:dyDescent="0.25">
      <c r="A82" s="52"/>
      <c r="B82" s="52">
        <v>35</v>
      </c>
      <c r="C82" s="53" t="s">
        <v>75</v>
      </c>
      <c r="D82" s="118">
        <v>5920</v>
      </c>
      <c r="E82" s="115" t="s">
        <v>196</v>
      </c>
      <c r="F82" s="40" t="s">
        <v>244</v>
      </c>
      <c r="G82" s="110">
        <v>10591</v>
      </c>
      <c r="H82" s="110">
        <v>23821</v>
      </c>
      <c r="I82" s="107">
        <f t="shared" si="200"/>
        <v>34412</v>
      </c>
      <c r="J82" s="98">
        <f t="shared" si="197"/>
        <v>0.94363138513832501</v>
      </c>
      <c r="K82" s="99">
        <v>9994</v>
      </c>
      <c r="L82" s="94">
        <f t="shared" si="198"/>
        <v>5.6368614861675007E-2</v>
      </c>
      <c r="M82" s="89">
        <f t="shared" si="199"/>
        <v>597</v>
      </c>
      <c r="N82" s="91">
        <f t="shared" si="201"/>
        <v>13.074299999999999</v>
      </c>
      <c r="O82" s="182">
        <f t="shared" si="202"/>
        <v>23.969550000000002</v>
      </c>
      <c r="P82" s="130">
        <f t="shared" si="203"/>
        <v>15.253349999999999</v>
      </c>
      <c r="Q82" s="130">
        <f t="shared" si="204"/>
        <v>2.1790500000000002</v>
      </c>
      <c r="R82" s="64">
        <f t="shared" si="205"/>
        <v>0.43580999999999998</v>
      </c>
      <c r="S82" s="130">
        <f t="shared" si="206"/>
        <v>0.93481245000000013</v>
      </c>
      <c r="T82" s="130">
        <f t="shared" si="207"/>
        <v>1.2943557000000001</v>
      </c>
      <c r="U82" s="130">
        <f t="shared" si="208"/>
        <v>1.22244705</v>
      </c>
      <c r="V82" s="130">
        <f t="shared" si="209"/>
        <v>0.17977162500000002</v>
      </c>
      <c r="W82" s="130">
        <f t="shared" si="210"/>
        <v>3.5954325000000002E-2</v>
      </c>
      <c r="X82" s="130">
        <f t="shared" si="211"/>
        <v>1.3662643500000002</v>
      </c>
      <c r="Y82" s="130">
        <f t="shared" si="212"/>
        <v>1.8696249000000003</v>
      </c>
      <c r="Z82" s="130">
        <f t="shared" si="213"/>
        <v>1.2943557000000001</v>
      </c>
      <c r="AA82" s="130">
        <f t="shared" si="214"/>
        <v>0</v>
      </c>
      <c r="AB82" s="130">
        <f t="shared" si="215"/>
        <v>0</v>
      </c>
      <c r="AC82" s="181">
        <f t="shared" si="216"/>
        <v>10.773223199999999</v>
      </c>
      <c r="AD82" s="181">
        <f t="shared" si="217"/>
        <v>20.8055694</v>
      </c>
      <c r="AE82" s="181">
        <f t="shared" si="218"/>
        <v>12.736547249999999</v>
      </c>
      <c r="AF82" s="181">
        <f t="shared" si="219"/>
        <v>1.9992783750000001</v>
      </c>
      <c r="AG82" s="181">
        <f t="shared" si="220"/>
        <v>0.39985567499999997</v>
      </c>
      <c r="AH82" s="85">
        <f t="shared" si="221"/>
        <v>740.54849999999999</v>
      </c>
      <c r="AI82" s="135">
        <f t="shared" si="222"/>
        <v>1357.6722500000001</v>
      </c>
      <c r="AJ82" s="135">
        <f t="shared" si="223"/>
        <v>863.97325000000001</v>
      </c>
      <c r="AK82" s="135">
        <f t="shared" si="224"/>
        <v>123.42475</v>
      </c>
      <c r="AL82" s="65">
        <f t="shared" si="225"/>
        <v>24.684950000000001</v>
      </c>
      <c r="AM82" s="66">
        <v>0.9</v>
      </c>
      <c r="AN82" s="66">
        <v>0.75</v>
      </c>
      <c r="AO82" s="66">
        <v>0.9</v>
      </c>
      <c r="AP82" s="66">
        <v>0.8</v>
      </c>
      <c r="AQ82" s="66">
        <v>0.8</v>
      </c>
      <c r="AR82" s="65">
        <f t="shared" si="226"/>
        <v>667.33498120499996</v>
      </c>
      <c r="AS82" s="65">
        <f t="shared" si="227"/>
        <v>1019.2249542750001</v>
      </c>
      <c r="AT82" s="65">
        <f t="shared" si="228"/>
        <v>778.67612734500005</v>
      </c>
      <c r="AU82" s="65">
        <f t="shared" si="229"/>
        <v>98.883617300000012</v>
      </c>
      <c r="AV82" s="65">
        <f t="shared" si="230"/>
        <v>19.776723459999999</v>
      </c>
      <c r="AW82" s="65">
        <f t="shared" si="231"/>
        <v>74.148331245000008</v>
      </c>
      <c r="AX82" s="65">
        <f t="shared" si="232"/>
        <v>339.7416514250001</v>
      </c>
      <c r="AY82" s="65">
        <f t="shared" si="233"/>
        <v>86.519569704999981</v>
      </c>
      <c r="AZ82" s="65">
        <f t="shared" si="234"/>
        <v>24.720904324999992</v>
      </c>
      <c r="BA82" s="86">
        <f t="shared" si="235"/>
        <v>4.9441808649999999</v>
      </c>
      <c r="BB82" s="83">
        <f t="shared" si="236"/>
        <v>753.62279999999998</v>
      </c>
      <c r="BC82" s="67">
        <f t="shared" si="237"/>
        <v>1381.6418000000001</v>
      </c>
      <c r="BD82" s="67">
        <f t="shared" si="238"/>
        <v>879.22659999999996</v>
      </c>
      <c r="BE82" s="68">
        <f t="shared" si="239"/>
        <v>125.60380000000001</v>
      </c>
      <c r="BF82" s="68">
        <f t="shared" si="240"/>
        <v>25.120760000000001</v>
      </c>
      <c r="BG82" s="67">
        <f t="shared" si="241"/>
        <v>84.921554445000012</v>
      </c>
      <c r="BH82" s="67">
        <f t="shared" si="242"/>
        <v>360.54722082500012</v>
      </c>
      <c r="BI82" s="67">
        <f t="shared" si="243"/>
        <v>99.256116954999982</v>
      </c>
      <c r="BJ82" s="68">
        <f t="shared" si="244"/>
        <v>26.720182699999992</v>
      </c>
      <c r="BK82" s="68">
        <f t="shared" si="245"/>
        <v>5.3440365399999994</v>
      </c>
      <c r="BL82" s="67">
        <f t="shared" si="246"/>
        <v>668.70124555500001</v>
      </c>
      <c r="BM82" s="67">
        <f t="shared" si="247"/>
        <v>1021.094579175</v>
      </c>
      <c r="BN82" s="67">
        <f t="shared" si="248"/>
        <v>779.97048304500004</v>
      </c>
      <c r="BO82" s="68">
        <f t="shared" si="249"/>
        <v>98.883617300000012</v>
      </c>
      <c r="BP82" s="76">
        <f t="shared" si="250"/>
        <v>19.776723459999999</v>
      </c>
      <c r="BQ82" s="33">
        <v>1932201</v>
      </c>
      <c r="BR82" s="8">
        <v>0</v>
      </c>
      <c r="BS82" t="s">
        <v>129</v>
      </c>
    </row>
    <row r="83" spans="1:71" ht="30" x14ac:dyDescent="0.25">
      <c r="A83" s="52"/>
      <c r="B83" s="52">
        <v>49</v>
      </c>
      <c r="C83" s="53" t="s">
        <v>87</v>
      </c>
      <c r="D83" s="118">
        <v>3184</v>
      </c>
      <c r="E83" s="115" t="s">
        <v>196</v>
      </c>
      <c r="F83" s="40" t="s">
        <v>244</v>
      </c>
      <c r="G83" s="110">
        <v>3297</v>
      </c>
      <c r="H83" s="110">
        <v>4027</v>
      </c>
      <c r="I83" s="107">
        <f t="shared" si="200"/>
        <v>7324</v>
      </c>
      <c r="J83" s="98">
        <f t="shared" si="197"/>
        <v>0.87989080982711554</v>
      </c>
      <c r="K83" s="99">
        <v>2901</v>
      </c>
      <c r="L83" s="94">
        <f t="shared" si="198"/>
        <v>0.12010919017288443</v>
      </c>
      <c r="M83" s="89">
        <f t="shared" si="199"/>
        <v>396</v>
      </c>
      <c r="N83" s="91">
        <f t="shared" si="201"/>
        <v>8.6723999999999997</v>
      </c>
      <c r="O83" s="182">
        <f t="shared" si="202"/>
        <v>15.8994</v>
      </c>
      <c r="P83" s="130">
        <f t="shared" si="203"/>
        <v>10.117800000000001</v>
      </c>
      <c r="Q83" s="130">
        <f t="shared" si="204"/>
        <v>1.4454</v>
      </c>
      <c r="R83" s="64">
        <f t="shared" si="205"/>
        <v>0.28908</v>
      </c>
      <c r="S83" s="130">
        <f t="shared" si="206"/>
        <v>0.62007659999999998</v>
      </c>
      <c r="T83" s="130">
        <f t="shared" si="207"/>
        <v>0.85856759999999999</v>
      </c>
      <c r="U83" s="130">
        <f t="shared" si="208"/>
        <v>0.81086940000000007</v>
      </c>
      <c r="V83" s="130">
        <f t="shared" si="209"/>
        <v>0.1192455</v>
      </c>
      <c r="W83" s="130">
        <f t="shared" si="210"/>
        <v>2.3849100000000002E-2</v>
      </c>
      <c r="X83" s="130">
        <f t="shared" si="211"/>
        <v>0.90626580000000001</v>
      </c>
      <c r="Y83" s="130">
        <f t="shared" si="212"/>
        <v>1.2401532</v>
      </c>
      <c r="Z83" s="130">
        <f t="shared" si="213"/>
        <v>0.85856759999999999</v>
      </c>
      <c r="AA83" s="130">
        <f t="shared" si="214"/>
        <v>0</v>
      </c>
      <c r="AB83" s="130">
        <f t="shared" si="215"/>
        <v>0</v>
      </c>
      <c r="AC83" s="181">
        <f t="shared" si="216"/>
        <v>7.1460575999999989</v>
      </c>
      <c r="AD83" s="181">
        <f t="shared" si="217"/>
        <v>13.800679199999999</v>
      </c>
      <c r="AE83" s="181">
        <f t="shared" si="218"/>
        <v>8.4483630000000005</v>
      </c>
      <c r="AF83" s="181">
        <f t="shared" si="219"/>
        <v>1.3261544999999999</v>
      </c>
      <c r="AG83" s="181">
        <f t="shared" si="220"/>
        <v>0.26523089999999999</v>
      </c>
      <c r="AH83" s="85">
        <f t="shared" si="221"/>
        <v>151.72319999999999</v>
      </c>
      <c r="AI83" s="135">
        <f t="shared" si="222"/>
        <v>278.1592</v>
      </c>
      <c r="AJ83" s="135">
        <f t="shared" si="223"/>
        <v>177.0104</v>
      </c>
      <c r="AK83" s="135">
        <f t="shared" si="224"/>
        <v>25.287199999999999</v>
      </c>
      <c r="AL83" s="65">
        <f t="shared" si="225"/>
        <v>5.0574399999999997</v>
      </c>
      <c r="AM83" s="66">
        <v>0.9</v>
      </c>
      <c r="AN83" s="66">
        <v>0.75</v>
      </c>
      <c r="AO83" s="66">
        <v>0.9</v>
      </c>
      <c r="AP83" s="66">
        <v>0.1</v>
      </c>
      <c r="AQ83" s="66">
        <v>0.1</v>
      </c>
      <c r="AR83" s="65">
        <f t="shared" si="226"/>
        <v>137.10894894</v>
      </c>
      <c r="AS83" s="65">
        <f t="shared" si="227"/>
        <v>209.2633257</v>
      </c>
      <c r="AT83" s="65">
        <f t="shared" si="228"/>
        <v>160.03914246000002</v>
      </c>
      <c r="AU83" s="65">
        <f t="shared" si="229"/>
        <v>2.5406445500000001</v>
      </c>
      <c r="AV83" s="65">
        <f t="shared" si="230"/>
        <v>0.50812890999999993</v>
      </c>
      <c r="AW83" s="65">
        <f t="shared" si="231"/>
        <v>15.234327659999991</v>
      </c>
      <c r="AX83" s="65">
        <f t="shared" si="232"/>
        <v>69.754441900000018</v>
      </c>
      <c r="AY83" s="65">
        <f t="shared" si="233"/>
        <v>17.782126939999984</v>
      </c>
      <c r="AZ83" s="65">
        <f t="shared" si="234"/>
        <v>22.865800950000001</v>
      </c>
      <c r="BA83" s="86">
        <f t="shared" si="235"/>
        <v>4.5731601899999994</v>
      </c>
      <c r="BB83" s="83">
        <f t="shared" si="236"/>
        <v>160.3956</v>
      </c>
      <c r="BC83" s="67">
        <f t="shared" si="237"/>
        <v>294.05860000000001</v>
      </c>
      <c r="BD83" s="67">
        <f t="shared" si="238"/>
        <v>187.12819999999999</v>
      </c>
      <c r="BE83" s="68">
        <f t="shared" si="239"/>
        <v>26.732599999999998</v>
      </c>
      <c r="BF83" s="68">
        <f t="shared" si="240"/>
        <v>5.3465199999999999</v>
      </c>
      <c r="BG83" s="67">
        <f t="shared" si="241"/>
        <v>22.38038525999999</v>
      </c>
      <c r="BH83" s="67">
        <f t="shared" si="242"/>
        <v>83.555121100000022</v>
      </c>
      <c r="BI83" s="67">
        <f t="shared" si="243"/>
        <v>26.230489939999984</v>
      </c>
      <c r="BJ83" s="68">
        <f t="shared" si="244"/>
        <v>24.191955450000002</v>
      </c>
      <c r="BK83" s="68">
        <f t="shared" si="245"/>
        <v>4.8383910899999991</v>
      </c>
      <c r="BL83" s="67">
        <f t="shared" si="246"/>
        <v>138.01521474</v>
      </c>
      <c r="BM83" s="67">
        <f t="shared" si="247"/>
        <v>210.5034789</v>
      </c>
      <c r="BN83" s="67">
        <f t="shared" si="248"/>
        <v>160.89771006000001</v>
      </c>
      <c r="BO83" s="68">
        <f t="shared" si="249"/>
        <v>2.5406445500000001</v>
      </c>
      <c r="BP83" s="76">
        <f t="shared" si="250"/>
        <v>0.50812890999999993</v>
      </c>
      <c r="BQ83" s="33">
        <f>256800+775600+111850</f>
        <v>1144250</v>
      </c>
      <c r="BR83" s="8">
        <v>0</v>
      </c>
      <c r="BS83" t="s">
        <v>133</v>
      </c>
    </row>
    <row r="84" spans="1:71" ht="45" x14ac:dyDescent="0.25">
      <c r="A84" s="52"/>
      <c r="B84" s="52">
        <v>52</v>
      </c>
      <c r="C84" s="53" t="s">
        <v>94</v>
      </c>
      <c r="D84" s="118">
        <v>3077</v>
      </c>
      <c r="E84" s="115" t="s">
        <v>152</v>
      </c>
      <c r="F84" s="40" t="s">
        <v>244</v>
      </c>
      <c r="G84" s="110">
        <v>5861</v>
      </c>
      <c r="H84" s="111">
        <v>833</v>
      </c>
      <c r="I84" s="107">
        <f t="shared" si="200"/>
        <v>6694</v>
      </c>
      <c r="J84" s="98">
        <f t="shared" si="197"/>
        <v>0.86060399249274866</v>
      </c>
      <c r="K84" s="99">
        <v>5044</v>
      </c>
      <c r="L84" s="94">
        <f t="shared" si="198"/>
        <v>0.13939600750725131</v>
      </c>
      <c r="M84" s="89">
        <f t="shared" si="199"/>
        <v>817</v>
      </c>
      <c r="N84" s="91">
        <f t="shared" si="201"/>
        <v>17.892299999999999</v>
      </c>
      <c r="O84" s="182">
        <f t="shared" si="202"/>
        <v>32.802549999999997</v>
      </c>
      <c r="P84" s="130">
        <f t="shared" si="203"/>
        <v>20.87435</v>
      </c>
      <c r="Q84" s="130">
        <f t="shared" si="204"/>
        <v>2.9820500000000001</v>
      </c>
      <c r="R84" s="64">
        <f t="shared" si="205"/>
        <v>0.59641</v>
      </c>
      <c r="S84" s="130">
        <f t="shared" si="206"/>
        <v>1.2792994500000001</v>
      </c>
      <c r="T84" s="130">
        <f t="shared" si="207"/>
        <v>1.7713376999999999</v>
      </c>
      <c r="U84" s="130">
        <f t="shared" si="208"/>
        <v>1.6729300500000002</v>
      </c>
      <c r="V84" s="130">
        <f t="shared" si="209"/>
        <v>0.24601912500000001</v>
      </c>
      <c r="W84" s="130">
        <f t="shared" si="210"/>
        <v>4.9203825E-2</v>
      </c>
      <c r="X84" s="130">
        <f t="shared" si="211"/>
        <v>1.8697453500000001</v>
      </c>
      <c r="Y84" s="130">
        <f t="shared" si="212"/>
        <v>2.5585989000000002</v>
      </c>
      <c r="Z84" s="130">
        <f t="shared" si="213"/>
        <v>1.7713376999999999</v>
      </c>
      <c r="AA84" s="130">
        <f t="shared" si="214"/>
        <v>0</v>
      </c>
      <c r="AB84" s="130">
        <f t="shared" si="215"/>
        <v>0</v>
      </c>
      <c r="AC84" s="181">
        <f t="shared" si="216"/>
        <v>14.743255199999998</v>
      </c>
      <c r="AD84" s="181">
        <f t="shared" si="217"/>
        <v>28.472613399999997</v>
      </c>
      <c r="AE84" s="181">
        <f t="shared" si="218"/>
        <v>17.430082249999998</v>
      </c>
      <c r="AF84" s="181">
        <f t="shared" si="219"/>
        <v>2.736030875</v>
      </c>
      <c r="AG84" s="181">
        <f t="shared" si="220"/>
        <v>0.54720617500000002</v>
      </c>
      <c r="AH84" s="85">
        <f t="shared" si="221"/>
        <v>128.7063</v>
      </c>
      <c r="AI84" s="135">
        <f t="shared" si="222"/>
        <v>235.96154999999999</v>
      </c>
      <c r="AJ84" s="135">
        <f t="shared" si="223"/>
        <v>150.15735000000001</v>
      </c>
      <c r="AK84" s="135">
        <f t="shared" si="224"/>
        <v>21.451049999999999</v>
      </c>
      <c r="AL84" s="65">
        <f t="shared" si="225"/>
        <v>4.2902100000000001</v>
      </c>
      <c r="AM84" s="66">
        <v>0.9</v>
      </c>
      <c r="AN84" s="66">
        <v>0.75</v>
      </c>
      <c r="AO84" s="66">
        <v>0.9</v>
      </c>
      <c r="AP84" s="66">
        <v>0.1</v>
      </c>
      <c r="AQ84" s="66">
        <v>0.1</v>
      </c>
      <c r="AR84" s="65">
        <f t="shared" si="226"/>
        <v>116.987039505</v>
      </c>
      <c r="AS84" s="65">
        <f t="shared" si="227"/>
        <v>178.29966577499999</v>
      </c>
      <c r="AT84" s="65">
        <f t="shared" si="228"/>
        <v>136.64725204500002</v>
      </c>
      <c r="AU84" s="65">
        <f t="shared" si="229"/>
        <v>2.1697069125000001</v>
      </c>
      <c r="AV84" s="65">
        <f t="shared" si="230"/>
        <v>0.43394138250000003</v>
      </c>
      <c r="AW84" s="65">
        <f t="shared" si="231"/>
        <v>12.998559944999997</v>
      </c>
      <c r="AX84" s="65">
        <f t="shared" si="232"/>
        <v>59.433221924999998</v>
      </c>
      <c r="AY84" s="65">
        <f t="shared" si="233"/>
        <v>15.183028004999983</v>
      </c>
      <c r="AZ84" s="65">
        <f t="shared" si="234"/>
        <v>19.527362212499998</v>
      </c>
      <c r="BA84" s="86">
        <f t="shared" si="235"/>
        <v>3.9054724425000003</v>
      </c>
      <c r="BB84" s="83">
        <f t="shared" si="236"/>
        <v>146.5986</v>
      </c>
      <c r="BC84" s="67">
        <f t="shared" si="237"/>
        <v>268.76409999999998</v>
      </c>
      <c r="BD84" s="67">
        <f t="shared" si="238"/>
        <v>171.0317</v>
      </c>
      <c r="BE84" s="68">
        <f t="shared" si="239"/>
        <v>24.4331</v>
      </c>
      <c r="BF84" s="68">
        <f t="shared" si="240"/>
        <v>4.8866199999999997</v>
      </c>
      <c r="BG84" s="67">
        <f t="shared" si="241"/>
        <v>27.741815144999997</v>
      </c>
      <c r="BH84" s="67">
        <f t="shared" si="242"/>
        <v>87.905835324999998</v>
      </c>
      <c r="BI84" s="67">
        <f t="shared" si="243"/>
        <v>32.613110254999981</v>
      </c>
      <c r="BJ84" s="68">
        <f t="shared" si="244"/>
        <v>22.263393087499999</v>
      </c>
      <c r="BK84" s="68">
        <f t="shared" si="245"/>
        <v>4.4526786175000002</v>
      </c>
      <c r="BL84" s="67">
        <f t="shared" si="246"/>
        <v>118.856784855</v>
      </c>
      <c r="BM84" s="67">
        <f t="shared" si="247"/>
        <v>180.85826467499999</v>
      </c>
      <c r="BN84" s="67">
        <f t="shared" si="248"/>
        <v>138.41858974500002</v>
      </c>
      <c r="BO84" s="68">
        <f t="shared" si="249"/>
        <v>2.1697069125000001</v>
      </c>
      <c r="BP84" s="76">
        <f t="shared" si="250"/>
        <v>0.43394138250000003</v>
      </c>
      <c r="BQ84" s="33">
        <v>650460</v>
      </c>
      <c r="BR84" s="8">
        <v>0</v>
      </c>
      <c r="BS84" t="s">
        <v>129</v>
      </c>
    </row>
    <row r="85" spans="1:71" ht="30.75" thickBot="1" x14ac:dyDescent="0.3">
      <c r="A85" s="52"/>
      <c r="B85" s="302">
        <v>56</v>
      </c>
      <c r="C85" s="305" t="s">
        <v>102</v>
      </c>
      <c r="D85" s="306">
        <v>2854</v>
      </c>
      <c r="E85" s="354" t="s">
        <v>155</v>
      </c>
      <c r="F85" s="40" t="s">
        <v>244</v>
      </c>
      <c r="G85" s="308">
        <v>2888</v>
      </c>
      <c r="H85" s="210">
        <v>0</v>
      </c>
      <c r="I85" s="310">
        <f t="shared" si="200"/>
        <v>2888</v>
      </c>
      <c r="J85" s="311">
        <f t="shared" si="197"/>
        <v>1</v>
      </c>
      <c r="K85" s="312">
        <v>2888</v>
      </c>
      <c r="L85" s="313">
        <f t="shared" si="198"/>
        <v>0</v>
      </c>
      <c r="M85" s="314">
        <f t="shared" si="199"/>
        <v>0</v>
      </c>
      <c r="N85" s="315">
        <f t="shared" si="201"/>
        <v>0</v>
      </c>
      <c r="O85" s="317">
        <f t="shared" si="202"/>
        <v>0</v>
      </c>
      <c r="P85" s="318">
        <f t="shared" si="203"/>
        <v>0</v>
      </c>
      <c r="Q85" s="318">
        <f t="shared" si="204"/>
        <v>0</v>
      </c>
      <c r="R85" s="319">
        <f t="shared" si="205"/>
        <v>0</v>
      </c>
      <c r="S85" s="318">
        <f t="shared" si="206"/>
        <v>0</v>
      </c>
      <c r="T85" s="318">
        <f t="shared" si="207"/>
        <v>0</v>
      </c>
      <c r="U85" s="318">
        <f t="shared" si="208"/>
        <v>0</v>
      </c>
      <c r="V85" s="318">
        <f t="shared" si="209"/>
        <v>0</v>
      </c>
      <c r="W85" s="318">
        <f t="shared" si="210"/>
        <v>0</v>
      </c>
      <c r="X85" s="318">
        <f t="shared" si="211"/>
        <v>0</v>
      </c>
      <c r="Y85" s="318">
        <f t="shared" si="212"/>
        <v>0</v>
      </c>
      <c r="Z85" s="318">
        <f t="shared" si="213"/>
        <v>0</v>
      </c>
      <c r="AA85" s="318">
        <f t="shared" si="214"/>
        <v>0</v>
      </c>
      <c r="AB85" s="318">
        <f t="shared" si="215"/>
        <v>0</v>
      </c>
      <c r="AC85" s="320">
        <f t="shared" si="216"/>
        <v>0</v>
      </c>
      <c r="AD85" s="320">
        <f t="shared" si="217"/>
        <v>0</v>
      </c>
      <c r="AE85" s="320">
        <f t="shared" si="218"/>
        <v>0</v>
      </c>
      <c r="AF85" s="320">
        <f t="shared" si="219"/>
        <v>0</v>
      </c>
      <c r="AG85" s="320">
        <f t="shared" si="220"/>
        <v>0</v>
      </c>
      <c r="AH85" s="321">
        <f t="shared" si="221"/>
        <v>63.247199999999999</v>
      </c>
      <c r="AI85" s="323">
        <f t="shared" si="222"/>
        <v>115.9532</v>
      </c>
      <c r="AJ85" s="323">
        <f t="shared" si="223"/>
        <v>73.788399999999996</v>
      </c>
      <c r="AK85" s="323">
        <f t="shared" si="224"/>
        <v>10.5412</v>
      </c>
      <c r="AL85" s="324">
        <f t="shared" si="225"/>
        <v>2.1082399999999999</v>
      </c>
      <c r="AM85" s="325">
        <v>0.9</v>
      </c>
      <c r="AN85" s="325">
        <v>0.75</v>
      </c>
      <c r="AO85" s="325">
        <v>0.9</v>
      </c>
      <c r="AP85" s="325">
        <v>0.1</v>
      </c>
      <c r="AQ85" s="325">
        <v>0.1</v>
      </c>
      <c r="AR85" s="324">
        <f t="shared" si="226"/>
        <v>56.92248</v>
      </c>
      <c r="AS85" s="324">
        <f t="shared" si="227"/>
        <v>86.9649</v>
      </c>
      <c r="AT85" s="324">
        <f t="shared" si="228"/>
        <v>66.409559999999999</v>
      </c>
      <c r="AU85" s="324">
        <f t="shared" si="229"/>
        <v>1.0541199999999999</v>
      </c>
      <c r="AV85" s="324">
        <f t="shared" si="230"/>
        <v>0.21082400000000001</v>
      </c>
      <c r="AW85" s="324">
        <f t="shared" si="231"/>
        <v>6.3247199999999992</v>
      </c>
      <c r="AX85" s="324">
        <f t="shared" si="232"/>
        <v>28.988299999999995</v>
      </c>
      <c r="AY85" s="324">
        <f t="shared" si="233"/>
        <v>7.3788399999999967</v>
      </c>
      <c r="AZ85" s="324">
        <f t="shared" si="234"/>
        <v>9.4870800000000006</v>
      </c>
      <c r="BA85" s="326">
        <f t="shared" si="235"/>
        <v>1.8974159999999998</v>
      </c>
      <c r="BB85" s="327">
        <f t="shared" si="236"/>
        <v>63.247199999999999</v>
      </c>
      <c r="BC85" s="329">
        <f t="shared" si="237"/>
        <v>115.9532</v>
      </c>
      <c r="BD85" s="329">
        <f t="shared" si="238"/>
        <v>73.788399999999996</v>
      </c>
      <c r="BE85" s="330">
        <f t="shared" si="239"/>
        <v>10.5412</v>
      </c>
      <c r="BF85" s="330">
        <f t="shared" si="240"/>
        <v>2.1082399999999999</v>
      </c>
      <c r="BG85" s="329">
        <f t="shared" si="241"/>
        <v>6.3247199999999992</v>
      </c>
      <c r="BH85" s="329">
        <f t="shared" si="242"/>
        <v>28.988299999999995</v>
      </c>
      <c r="BI85" s="329">
        <f t="shared" si="243"/>
        <v>7.3788399999999967</v>
      </c>
      <c r="BJ85" s="330">
        <f t="shared" si="244"/>
        <v>9.4870800000000006</v>
      </c>
      <c r="BK85" s="330">
        <f t="shared" si="245"/>
        <v>1.8974159999999998</v>
      </c>
      <c r="BL85" s="329">
        <f t="shared" si="246"/>
        <v>56.92248</v>
      </c>
      <c r="BM85" s="329">
        <f t="shared" si="247"/>
        <v>86.9649</v>
      </c>
      <c r="BN85" s="329">
        <f t="shared" si="248"/>
        <v>66.409559999999999</v>
      </c>
      <c r="BO85" s="330">
        <f t="shared" si="249"/>
        <v>1.0541199999999999</v>
      </c>
      <c r="BP85" s="331">
        <f t="shared" si="250"/>
        <v>0.21082400000000001</v>
      </c>
      <c r="BQ85" s="33">
        <v>0</v>
      </c>
      <c r="BR85" s="8">
        <v>0</v>
      </c>
      <c r="BS85" t="s">
        <v>3</v>
      </c>
    </row>
    <row r="86" spans="1:71" s="350" customFormat="1" ht="16.5" thickBot="1" x14ac:dyDescent="0.3">
      <c r="A86" s="355"/>
      <c r="B86" s="455" t="s">
        <v>359</v>
      </c>
      <c r="C86" s="456"/>
      <c r="D86" s="456"/>
      <c r="E86" s="457"/>
      <c r="F86" s="353"/>
      <c r="G86" s="309">
        <f>SUM(G78:G85)</f>
        <v>779967</v>
      </c>
      <c r="H86" s="309">
        <f t="shared" ref="H86:Q86" si="294">SUM(H78:H85)</f>
        <v>183723</v>
      </c>
      <c r="I86" s="309">
        <f t="shared" si="294"/>
        <v>963690</v>
      </c>
      <c r="J86" s="332">
        <f>K86/G86</f>
        <v>0.97498868541874206</v>
      </c>
      <c r="K86" s="309">
        <f t="shared" si="294"/>
        <v>760459</v>
      </c>
      <c r="L86" s="333">
        <f>M86/G86</f>
        <v>2.5011314581257924E-2</v>
      </c>
      <c r="M86" s="309">
        <f t="shared" si="294"/>
        <v>19508</v>
      </c>
      <c r="N86" s="316">
        <f t="shared" si="294"/>
        <v>427.22520000000003</v>
      </c>
      <c r="O86" s="316">
        <f t="shared" si="294"/>
        <v>783.24619999999993</v>
      </c>
      <c r="P86" s="316">
        <f t="shared" si="294"/>
        <v>498.42939999999999</v>
      </c>
      <c r="Q86" s="316">
        <f t="shared" si="294"/>
        <v>71.204200000000014</v>
      </c>
      <c r="R86" s="316">
        <f t="shared" ref="R86" si="295">SUM(R78:R85)</f>
        <v>14.24084</v>
      </c>
      <c r="S86" s="316">
        <f t="shared" ref="S86" si="296">SUM(S78:S85)</f>
        <v>30.546601800000001</v>
      </c>
      <c r="T86" s="316">
        <f t="shared" ref="T86" si="297">SUM(T78:T85)</f>
        <v>42.295294800000001</v>
      </c>
      <c r="U86" s="316">
        <f t="shared" ref="U86" si="298">SUM(U78:U85)</f>
        <v>39.945556200000006</v>
      </c>
      <c r="V86" s="316">
        <f t="shared" ref="V86" si="299">SUM(V78:V85)</f>
        <v>5.8743465000000006</v>
      </c>
      <c r="W86" s="316">
        <f t="shared" ref="W86" si="300">SUM(W78:W85)</f>
        <v>1.1748693000000001</v>
      </c>
      <c r="X86" s="316">
        <f t="shared" ref="X86" si="301">SUM(X78:X85)</f>
        <v>44.64503340000001</v>
      </c>
      <c r="Y86" s="316">
        <f t="shared" ref="Y86" si="302">SUM(Y78:Y85)</f>
        <v>61.093203600000002</v>
      </c>
      <c r="Z86" s="316">
        <f t="shared" ref="Z86:AA86" si="303">SUM(Z78:Z85)</f>
        <v>42.295294800000001</v>
      </c>
      <c r="AA86" s="316">
        <f t="shared" si="303"/>
        <v>0</v>
      </c>
      <c r="AB86" s="316">
        <f t="shared" ref="AB86" si="304">SUM(AB78:AB85)</f>
        <v>0</v>
      </c>
      <c r="AC86" s="316">
        <f t="shared" ref="AC86" si="305">SUM(AC78:AC85)</f>
        <v>352.03356480000002</v>
      </c>
      <c r="AD86" s="316">
        <f t="shared" ref="AD86" si="306">SUM(AD78:AD85)</f>
        <v>679.85770159999981</v>
      </c>
      <c r="AE86" s="316">
        <f t="shared" ref="AE86" si="307">SUM(AE78:AE85)</f>
        <v>416.18854900000002</v>
      </c>
      <c r="AF86" s="316">
        <f t="shared" ref="AF86" si="308">SUM(AF78:AF85)</f>
        <v>65.329853499999999</v>
      </c>
      <c r="AG86" s="316">
        <f t="shared" ref="AG86" si="309">SUM(AG78:AG85)</f>
        <v>13.065970699999999</v>
      </c>
      <c r="AH86" s="322">
        <f t="shared" ref="AH86" si="310">SUM(AH78:AH85)</f>
        <v>20677.585800000008</v>
      </c>
      <c r="AI86" s="322">
        <f t="shared" ref="AI86" si="311">SUM(AI78:AI85)</f>
        <v>37908.907300000013</v>
      </c>
      <c r="AJ86" s="322">
        <f t="shared" ref="AJ86:AK86" si="312">SUM(AJ78:AJ85)</f>
        <v>24123.8501</v>
      </c>
      <c r="AK86" s="322">
        <f t="shared" si="312"/>
        <v>3446.2643000000003</v>
      </c>
      <c r="AL86" s="322">
        <f t="shared" ref="AL86" si="313">SUM(AL78:AL85)</f>
        <v>689.25286000000006</v>
      </c>
      <c r="AM86" s="322"/>
      <c r="AN86" s="322"/>
      <c r="AO86" s="322"/>
      <c r="AP86" s="322"/>
      <c r="AQ86" s="322"/>
      <c r="AR86" s="322">
        <f t="shared" ref="AR86" si="314">SUM(AR78:AR85)</f>
        <v>18637.319161619998</v>
      </c>
      <c r="AS86" s="322">
        <f t="shared" ref="AS86" si="315">SUM(AS78:AS85)</f>
        <v>28463.401946100006</v>
      </c>
      <c r="AT86" s="322">
        <f t="shared" ref="AT86:AU86" si="316">SUM(AT78:AT85)</f>
        <v>21747.416090579998</v>
      </c>
      <c r="AU86" s="322">
        <f t="shared" si="316"/>
        <v>2721.3596169624993</v>
      </c>
      <c r="AV86" s="322">
        <f t="shared" ref="AV86" si="317">SUM(AV78:AV85)</f>
        <v>544.27192339250007</v>
      </c>
      <c r="AW86" s="322">
        <f t="shared" ref="AW86" si="318">SUM(AW78:AW85)</f>
        <v>2070.8132401799999</v>
      </c>
      <c r="AX86" s="322">
        <f t="shared" ref="AX86" si="319">SUM(AX78:AX85)</f>
        <v>9487.8006487000021</v>
      </c>
      <c r="AY86" s="322">
        <f t="shared" ref="AY86" si="320">SUM(AY78:AY85)</f>
        <v>2416.37956562</v>
      </c>
      <c r="AZ86" s="322">
        <f t="shared" ref="AZ86" si="321">SUM(AZ78:AZ85)</f>
        <v>730.77902953749992</v>
      </c>
      <c r="BA86" s="322">
        <f t="shared" ref="BA86" si="322">SUM(BA78:BA85)</f>
        <v>146.1558059075</v>
      </c>
      <c r="BB86" s="328">
        <f t="shared" ref="BB86" si="323">SUM(BB78:BB85)</f>
        <v>21104.811000000005</v>
      </c>
      <c r="BC86" s="328">
        <f t="shared" ref="BC86" si="324">SUM(BC78:BC85)</f>
        <v>38692.1535</v>
      </c>
      <c r="BD86" s="328">
        <f t="shared" ref="BD86:BE86" si="325">SUM(BD78:BD85)</f>
        <v>24622.279500000001</v>
      </c>
      <c r="BE86" s="328">
        <f t="shared" si="325"/>
        <v>3517.4685000000004</v>
      </c>
      <c r="BF86" s="328">
        <f t="shared" ref="BF86" si="326">SUM(BF78:BF85)</f>
        <v>703.4937000000001</v>
      </c>
      <c r="BG86" s="328">
        <f t="shared" ref="BG86" si="327">SUM(BG78:BG85)</f>
        <v>2422.8468049799994</v>
      </c>
      <c r="BH86" s="328">
        <f t="shared" ref="BH86" si="328">SUM(BH78:BH85)</f>
        <v>10167.658350299998</v>
      </c>
      <c r="BI86" s="328">
        <f t="shared" ref="BI86" si="329">SUM(BI78:BI85)</f>
        <v>2832.56811462</v>
      </c>
      <c r="BJ86" s="328">
        <f t="shared" ref="BJ86" si="330">SUM(BJ78:BJ85)</f>
        <v>796.10888303750016</v>
      </c>
      <c r="BK86" s="328">
        <f t="shared" ref="BK86" si="331">SUM(BK78:BK85)</f>
        <v>159.22177660749995</v>
      </c>
      <c r="BL86" s="328">
        <f t="shared" ref="BL86" si="332">SUM(BL78:BL85)</f>
        <v>18681.964195020006</v>
      </c>
      <c r="BM86" s="328">
        <f t="shared" ref="BM86" si="333">SUM(BM78:BM85)</f>
        <v>28524.4951497</v>
      </c>
      <c r="BN86" s="328">
        <f t="shared" ref="BN86:BO86" si="334">SUM(BN78:BN85)</f>
        <v>21789.711385379996</v>
      </c>
      <c r="BO86" s="328">
        <f t="shared" si="334"/>
        <v>2721.3596169624993</v>
      </c>
      <c r="BP86" s="328">
        <f t="shared" ref="BP86" si="335">SUM(BP78:BP85)</f>
        <v>544.27192339250007</v>
      </c>
      <c r="BQ86" s="348"/>
      <c r="BR86" s="349"/>
    </row>
    <row r="87" spans="1:71" ht="19.5" thickBot="1" x14ac:dyDescent="0.35">
      <c r="A87" s="52"/>
      <c r="B87" s="459" t="s">
        <v>355</v>
      </c>
      <c r="C87" s="460"/>
      <c r="D87" s="460"/>
      <c r="E87" s="460"/>
      <c r="F87" s="460"/>
      <c r="G87" s="460"/>
      <c r="H87" s="460"/>
      <c r="I87" s="461"/>
      <c r="J87" s="122"/>
      <c r="K87" s="123"/>
      <c r="L87" s="124"/>
      <c r="M87" s="125"/>
      <c r="N87" s="129"/>
      <c r="O87" s="182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81"/>
      <c r="AD87" s="181"/>
      <c r="AE87" s="181"/>
      <c r="AF87" s="181"/>
      <c r="AG87" s="181"/>
      <c r="AH87" s="134"/>
      <c r="AI87" s="135"/>
      <c r="AJ87" s="135"/>
      <c r="AK87" s="135"/>
      <c r="AL87" s="135"/>
      <c r="AM87" s="136"/>
      <c r="AN87" s="136"/>
      <c r="AO87" s="136"/>
      <c r="AP87" s="136"/>
      <c r="AQ87" s="136"/>
      <c r="AR87" s="135"/>
      <c r="AS87" s="135"/>
      <c r="AT87" s="135"/>
      <c r="AU87" s="135"/>
      <c r="AV87" s="135"/>
      <c r="AW87" s="135"/>
      <c r="AX87" s="135"/>
      <c r="AY87" s="135"/>
      <c r="AZ87" s="135"/>
      <c r="BA87" s="137"/>
      <c r="BB87" s="143"/>
      <c r="BC87" s="144"/>
      <c r="BD87" s="144"/>
      <c r="BE87" s="285"/>
      <c r="BF87" s="285"/>
      <c r="BG87" s="144"/>
      <c r="BH87" s="144"/>
      <c r="BI87" s="144"/>
      <c r="BJ87" s="285"/>
      <c r="BK87" s="285"/>
      <c r="BL87" s="144"/>
      <c r="BM87" s="144"/>
      <c r="BN87" s="144"/>
      <c r="BO87" s="285"/>
      <c r="BP87" s="286"/>
      <c r="BQ87" s="33"/>
      <c r="BR87" s="8"/>
    </row>
    <row r="88" spans="1:71" x14ac:dyDescent="0.25">
      <c r="A88" s="52"/>
      <c r="B88" s="52">
        <v>11</v>
      </c>
      <c r="C88" s="53" t="s">
        <v>54</v>
      </c>
      <c r="D88" s="118">
        <v>18053</v>
      </c>
      <c r="E88" s="103" t="s">
        <v>7</v>
      </c>
      <c r="F88" s="36" t="s">
        <v>270</v>
      </c>
      <c r="G88" s="110">
        <v>19712</v>
      </c>
      <c r="H88" s="110">
        <v>5104</v>
      </c>
      <c r="I88" s="107">
        <f t="shared" si="200"/>
        <v>24816</v>
      </c>
      <c r="J88" s="98">
        <f t="shared" si="197"/>
        <v>1</v>
      </c>
      <c r="K88" s="99">
        <v>19712</v>
      </c>
      <c r="L88" s="94">
        <f t="shared" si="198"/>
        <v>0</v>
      </c>
      <c r="M88" s="89">
        <f t="shared" si="199"/>
        <v>0</v>
      </c>
      <c r="N88" s="91">
        <f t="shared" si="201"/>
        <v>0</v>
      </c>
      <c r="O88" s="182">
        <f t="shared" si="202"/>
        <v>0</v>
      </c>
      <c r="P88" s="130">
        <f t="shared" si="203"/>
        <v>0</v>
      </c>
      <c r="Q88" s="130">
        <f t="shared" si="204"/>
        <v>0</v>
      </c>
      <c r="R88" s="64">
        <f t="shared" si="205"/>
        <v>0</v>
      </c>
      <c r="S88" s="130">
        <f t="shared" si="206"/>
        <v>0</v>
      </c>
      <c r="T88" s="130">
        <f t="shared" si="207"/>
        <v>0</v>
      </c>
      <c r="U88" s="130">
        <f t="shared" si="208"/>
        <v>0</v>
      </c>
      <c r="V88" s="130">
        <f t="shared" si="209"/>
        <v>0</v>
      </c>
      <c r="W88" s="130">
        <f t="shared" si="210"/>
        <v>0</v>
      </c>
      <c r="X88" s="130">
        <f t="shared" si="211"/>
        <v>0</v>
      </c>
      <c r="Y88" s="130">
        <f t="shared" si="212"/>
        <v>0</v>
      </c>
      <c r="Z88" s="130">
        <f t="shared" si="213"/>
        <v>0</v>
      </c>
      <c r="AA88" s="130">
        <f t="shared" si="214"/>
        <v>0</v>
      </c>
      <c r="AB88" s="130">
        <f t="shared" si="215"/>
        <v>0</v>
      </c>
      <c r="AC88" s="181">
        <f t="shared" si="216"/>
        <v>0</v>
      </c>
      <c r="AD88" s="181">
        <f t="shared" si="217"/>
        <v>0</v>
      </c>
      <c r="AE88" s="181">
        <f t="shared" si="218"/>
        <v>0</v>
      </c>
      <c r="AF88" s="181">
        <f t="shared" si="219"/>
        <v>0</v>
      </c>
      <c r="AG88" s="181">
        <f t="shared" si="220"/>
        <v>0</v>
      </c>
      <c r="AH88" s="85">
        <f t="shared" si="221"/>
        <v>543.47040000000004</v>
      </c>
      <c r="AI88" s="135">
        <f t="shared" si="222"/>
        <v>996.36239999999998</v>
      </c>
      <c r="AJ88" s="135">
        <f t="shared" si="223"/>
        <v>634.04880000000003</v>
      </c>
      <c r="AK88" s="135">
        <f t="shared" si="224"/>
        <v>90.578400000000002</v>
      </c>
      <c r="AL88" s="65">
        <f t="shared" si="225"/>
        <v>18.115680000000001</v>
      </c>
      <c r="AM88" s="66">
        <v>0.9</v>
      </c>
      <c r="AN88" s="66">
        <v>0.75</v>
      </c>
      <c r="AO88" s="66">
        <v>0.9</v>
      </c>
      <c r="AP88" s="66">
        <v>0.8</v>
      </c>
      <c r="AQ88" s="66">
        <v>0.8</v>
      </c>
      <c r="AR88" s="65">
        <f t="shared" si="226"/>
        <v>489.12336000000005</v>
      </c>
      <c r="AS88" s="65">
        <f t="shared" si="227"/>
        <v>747.27179999999998</v>
      </c>
      <c r="AT88" s="65">
        <f t="shared" si="228"/>
        <v>570.64392000000009</v>
      </c>
      <c r="AU88" s="65">
        <f t="shared" si="229"/>
        <v>72.462720000000004</v>
      </c>
      <c r="AV88" s="65">
        <f t="shared" si="230"/>
        <v>14.492544000000002</v>
      </c>
      <c r="AW88" s="65">
        <f t="shared" si="231"/>
        <v>54.347039999999993</v>
      </c>
      <c r="AX88" s="65">
        <f t="shared" si="232"/>
        <v>249.09059999999999</v>
      </c>
      <c r="AY88" s="65">
        <f t="shared" si="233"/>
        <v>63.404879999999935</v>
      </c>
      <c r="AZ88" s="65">
        <f t="shared" si="234"/>
        <v>18.115679999999998</v>
      </c>
      <c r="BA88" s="86">
        <f t="shared" si="235"/>
        <v>3.6231359999999988</v>
      </c>
      <c r="BB88" s="83">
        <f t="shared" si="236"/>
        <v>543.47040000000004</v>
      </c>
      <c r="BC88" s="67">
        <f t="shared" si="237"/>
        <v>996.36239999999998</v>
      </c>
      <c r="BD88" s="67">
        <f t="shared" si="238"/>
        <v>634.04880000000003</v>
      </c>
      <c r="BE88" s="68">
        <f t="shared" si="239"/>
        <v>90.578400000000002</v>
      </c>
      <c r="BF88" s="68">
        <f t="shared" si="240"/>
        <v>18.115680000000001</v>
      </c>
      <c r="BG88" s="67">
        <f t="shared" si="241"/>
        <v>54.347039999999993</v>
      </c>
      <c r="BH88" s="67">
        <f t="shared" si="242"/>
        <v>249.09059999999999</v>
      </c>
      <c r="BI88" s="67">
        <f t="shared" si="243"/>
        <v>63.404879999999935</v>
      </c>
      <c r="BJ88" s="68">
        <f t="shared" si="244"/>
        <v>18.115679999999998</v>
      </c>
      <c r="BK88" s="68">
        <f t="shared" si="245"/>
        <v>3.6231359999999988</v>
      </c>
      <c r="BL88" s="67">
        <f t="shared" si="246"/>
        <v>489.12336000000005</v>
      </c>
      <c r="BM88" s="67">
        <f t="shared" si="247"/>
        <v>747.27179999999998</v>
      </c>
      <c r="BN88" s="67">
        <f t="shared" si="248"/>
        <v>570.64392000000009</v>
      </c>
      <c r="BO88" s="68">
        <f t="shared" si="249"/>
        <v>72.462720000000004</v>
      </c>
      <c r="BP88" s="76">
        <f t="shared" si="250"/>
        <v>14.492544000000002</v>
      </c>
      <c r="BQ88" s="33">
        <v>0</v>
      </c>
      <c r="BR88" s="8">
        <v>0</v>
      </c>
    </row>
    <row r="89" spans="1:71" x14ac:dyDescent="0.25">
      <c r="A89" s="52"/>
      <c r="B89" s="52">
        <v>15</v>
      </c>
      <c r="C89" s="53" t="s">
        <v>58</v>
      </c>
      <c r="D89" s="118">
        <v>11456</v>
      </c>
      <c r="E89" s="103" t="s">
        <v>9</v>
      </c>
      <c r="F89" s="36" t="s">
        <v>270</v>
      </c>
      <c r="G89" s="110">
        <v>13333</v>
      </c>
      <c r="H89" s="111">
        <v>15</v>
      </c>
      <c r="I89" s="107">
        <f t="shared" si="200"/>
        <v>13348</v>
      </c>
      <c r="J89" s="98">
        <f t="shared" si="197"/>
        <v>1</v>
      </c>
      <c r="K89" s="99">
        <v>13333</v>
      </c>
      <c r="L89" s="94">
        <f t="shared" si="198"/>
        <v>0</v>
      </c>
      <c r="M89" s="89">
        <f t="shared" si="199"/>
        <v>0</v>
      </c>
      <c r="N89" s="91">
        <f t="shared" si="201"/>
        <v>0</v>
      </c>
      <c r="O89" s="182">
        <f t="shared" si="202"/>
        <v>0</v>
      </c>
      <c r="P89" s="130">
        <f t="shared" si="203"/>
        <v>0</v>
      </c>
      <c r="Q89" s="130">
        <f t="shared" si="204"/>
        <v>0</v>
      </c>
      <c r="R89" s="64">
        <f t="shared" si="205"/>
        <v>0</v>
      </c>
      <c r="S89" s="130">
        <f t="shared" si="206"/>
        <v>0</v>
      </c>
      <c r="T89" s="130">
        <f t="shared" si="207"/>
        <v>0</v>
      </c>
      <c r="U89" s="130">
        <f t="shared" si="208"/>
        <v>0</v>
      </c>
      <c r="V89" s="130">
        <f t="shared" si="209"/>
        <v>0</v>
      </c>
      <c r="W89" s="130">
        <f t="shared" si="210"/>
        <v>0</v>
      </c>
      <c r="X89" s="130">
        <f t="shared" si="211"/>
        <v>0</v>
      </c>
      <c r="Y89" s="130">
        <f t="shared" si="212"/>
        <v>0</v>
      </c>
      <c r="Z89" s="130">
        <f t="shared" si="213"/>
        <v>0</v>
      </c>
      <c r="AA89" s="130">
        <f t="shared" si="214"/>
        <v>0</v>
      </c>
      <c r="AB89" s="130">
        <f t="shared" si="215"/>
        <v>0</v>
      </c>
      <c r="AC89" s="181">
        <f t="shared" si="216"/>
        <v>0</v>
      </c>
      <c r="AD89" s="181">
        <f t="shared" si="217"/>
        <v>0</v>
      </c>
      <c r="AE89" s="181">
        <f t="shared" si="218"/>
        <v>0</v>
      </c>
      <c r="AF89" s="181">
        <f t="shared" si="219"/>
        <v>0</v>
      </c>
      <c r="AG89" s="181">
        <f t="shared" si="220"/>
        <v>0</v>
      </c>
      <c r="AH89" s="85">
        <f t="shared" si="221"/>
        <v>292.32119999999998</v>
      </c>
      <c r="AI89" s="135">
        <f t="shared" si="222"/>
        <v>535.92219999999998</v>
      </c>
      <c r="AJ89" s="135">
        <f t="shared" si="223"/>
        <v>341.04140000000001</v>
      </c>
      <c r="AK89" s="135">
        <f t="shared" si="224"/>
        <v>48.720199999999998</v>
      </c>
      <c r="AL89" s="65">
        <f t="shared" si="225"/>
        <v>9.74404</v>
      </c>
      <c r="AM89" s="66">
        <v>0.9</v>
      </c>
      <c r="AN89" s="66">
        <v>0.75</v>
      </c>
      <c r="AO89" s="66">
        <v>0.9</v>
      </c>
      <c r="AP89" s="66">
        <v>0.8</v>
      </c>
      <c r="AQ89" s="66">
        <v>0.8</v>
      </c>
      <c r="AR89" s="65">
        <f t="shared" si="226"/>
        <v>263.08907999999997</v>
      </c>
      <c r="AS89" s="65">
        <f t="shared" si="227"/>
        <v>401.94164999999998</v>
      </c>
      <c r="AT89" s="65">
        <f t="shared" si="228"/>
        <v>306.93726000000004</v>
      </c>
      <c r="AU89" s="65">
        <f t="shared" si="229"/>
        <v>38.97616</v>
      </c>
      <c r="AV89" s="65">
        <f t="shared" si="230"/>
        <v>7.7952320000000004</v>
      </c>
      <c r="AW89" s="65">
        <f t="shared" si="231"/>
        <v>29.232120000000009</v>
      </c>
      <c r="AX89" s="65">
        <f t="shared" si="232"/>
        <v>133.98054999999999</v>
      </c>
      <c r="AY89" s="65">
        <f t="shared" si="233"/>
        <v>34.104139999999973</v>
      </c>
      <c r="AZ89" s="65">
        <f t="shared" si="234"/>
        <v>9.7440399999999983</v>
      </c>
      <c r="BA89" s="86">
        <f t="shared" si="235"/>
        <v>1.9488079999999997</v>
      </c>
      <c r="BB89" s="83">
        <f t="shared" si="236"/>
        <v>292.32119999999998</v>
      </c>
      <c r="BC89" s="67">
        <f t="shared" si="237"/>
        <v>535.92219999999998</v>
      </c>
      <c r="BD89" s="67">
        <f t="shared" si="238"/>
        <v>341.04140000000001</v>
      </c>
      <c r="BE89" s="68">
        <f t="shared" si="239"/>
        <v>48.720199999999998</v>
      </c>
      <c r="BF89" s="68">
        <f t="shared" si="240"/>
        <v>9.74404</v>
      </c>
      <c r="BG89" s="67">
        <f t="shared" si="241"/>
        <v>29.232120000000009</v>
      </c>
      <c r="BH89" s="67">
        <f t="shared" si="242"/>
        <v>133.98054999999999</v>
      </c>
      <c r="BI89" s="67">
        <f t="shared" si="243"/>
        <v>34.104139999999973</v>
      </c>
      <c r="BJ89" s="68">
        <f t="shared" si="244"/>
        <v>9.7440399999999983</v>
      </c>
      <c r="BK89" s="68">
        <f t="shared" si="245"/>
        <v>1.9488079999999997</v>
      </c>
      <c r="BL89" s="67">
        <f t="shared" si="246"/>
        <v>263.08907999999997</v>
      </c>
      <c r="BM89" s="67">
        <f t="shared" si="247"/>
        <v>401.94164999999998</v>
      </c>
      <c r="BN89" s="67">
        <f t="shared" si="248"/>
        <v>306.93726000000004</v>
      </c>
      <c r="BO89" s="68">
        <f t="shared" si="249"/>
        <v>38.97616</v>
      </c>
      <c r="BP89" s="76">
        <f t="shared" si="250"/>
        <v>7.7952320000000004</v>
      </c>
      <c r="BQ89" s="33">
        <v>0</v>
      </c>
      <c r="BR89" s="8">
        <v>0</v>
      </c>
      <c r="BS89" t="s">
        <v>132</v>
      </c>
    </row>
    <row r="90" spans="1:71" ht="90" x14ac:dyDescent="0.25">
      <c r="A90" s="52"/>
      <c r="B90" s="52">
        <v>16</v>
      </c>
      <c r="C90" s="53" t="s">
        <v>59</v>
      </c>
      <c r="D90" s="118">
        <v>11091</v>
      </c>
      <c r="E90" s="115" t="s">
        <v>134</v>
      </c>
      <c r="F90" s="40" t="s">
        <v>270</v>
      </c>
      <c r="G90" s="110">
        <v>11905</v>
      </c>
      <c r="H90" s="111">
        <v>220</v>
      </c>
      <c r="I90" s="107">
        <f t="shared" si="200"/>
        <v>12125</v>
      </c>
      <c r="J90" s="98">
        <f t="shared" si="197"/>
        <v>0.99832003359932797</v>
      </c>
      <c r="K90" s="99">
        <v>11885</v>
      </c>
      <c r="L90" s="94">
        <f t="shared" si="198"/>
        <v>1.6799664006719867E-3</v>
      </c>
      <c r="M90" s="89">
        <f t="shared" si="199"/>
        <v>20</v>
      </c>
      <c r="N90" s="91">
        <f t="shared" si="201"/>
        <v>0.438</v>
      </c>
      <c r="O90" s="182">
        <f t="shared" si="202"/>
        <v>0.80300000000000005</v>
      </c>
      <c r="P90" s="130">
        <f t="shared" si="203"/>
        <v>0.51100000000000001</v>
      </c>
      <c r="Q90" s="130">
        <f t="shared" si="204"/>
        <v>7.2999999999999995E-2</v>
      </c>
      <c r="R90" s="64">
        <f t="shared" si="205"/>
        <v>1.46E-2</v>
      </c>
      <c r="S90" s="130">
        <f t="shared" si="206"/>
        <v>3.1316999999999998E-2</v>
      </c>
      <c r="T90" s="130">
        <f t="shared" si="207"/>
        <v>4.3361999999999998E-2</v>
      </c>
      <c r="U90" s="130">
        <f t="shared" si="208"/>
        <v>4.0953000000000003E-2</v>
      </c>
      <c r="V90" s="130">
        <f t="shared" si="209"/>
        <v>6.0225000000000001E-3</v>
      </c>
      <c r="W90" s="130">
        <f t="shared" si="210"/>
        <v>1.2045000000000001E-3</v>
      </c>
      <c r="X90" s="130">
        <f t="shared" si="211"/>
        <v>4.5770999999999999E-2</v>
      </c>
      <c r="Y90" s="130">
        <f t="shared" si="212"/>
        <v>6.2633999999999995E-2</v>
      </c>
      <c r="Z90" s="130">
        <f t="shared" si="213"/>
        <v>4.3361999999999998E-2</v>
      </c>
      <c r="AA90" s="130">
        <f t="shared" si="214"/>
        <v>0</v>
      </c>
      <c r="AB90" s="130">
        <f t="shared" si="215"/>
        <v>0</v>
      </c>
      <c r="AC90" s="181">
        <f t="shared" si="216"/>
        <v>0.36091200000000001</v>
      </c>
      <c r="AD90" s="181">
        <f t="shared" si="217"/>
        <v>0.69700400000000007</v>
      </c>
      <c r="AE90" s="181">
        <f t="shared" si="218"/>
        <v>0.42668499999999998</v>
      </c>
      <c r="AF90" s="181">
        <f t="shared" si="219"/>
        <v>6.6977499999999995E-2</v>
      </c>
      <c r="AG90" s="181">
        <f t="shared" si="220"/>
        <v>1.3395499999999999E-2</v>
      </c>
      <c r="AH90" s="85">
        <f t="shared" si="221"/>
        <v>265.09949999999998</v>
      </c>
      <c r="AI90" s="135">
        <f t="shared" si="222"/>
        <v>486.01575000000003</v>
      </c>
      <c r="AJ90" s="135">
        <f t="shared" si="223"/>
        <v>309.28275000000002</v>
      </c>
      <c r="AK90" s="135">
        <f t="shared" si="224"/>
        <v>44.183250000000001</v>
      </c>
      <c r="AL90" s="65">
        <f t="shared" si="225"/>
        <v>8.8366500000000006</v>
      </c>
      <c r="AM90" s="66">
        <v>0.9</v>
      </c>
      <c r="AN90" s="66">
        <v>0.75</v>
      </c>
      <c r="AO90" s="66">
        <v>0.9</v>
      </c>
      <c r="AP90" s="66">
        <v>0.8</v>
      </c>
      <c r="AQ90" s="66">
        <v>0.8</v>
      </c>
      <c r="AR90" s="65">
        <f t="shared" si="226"/>
        <v>238.61773529999999</v>
      </c>
      <c r="AS90" s="65">
        <f t="shared" si="227"/>
        <v>364.54433400000005</v>
      </c>
      <c r="AT90" s="65">
        <f t="shared" si="228"/>
        <v>278.39133270000002</v>
      </c>
      <c r="AU90" s="65">
        <f t="shared" si="229"/>
        <v>35.351418000000002</v>
      </c>
      <c r="AV90" s="65">
        <f t="shared" si="230"/>
        <v>7.0702836000000007</v>
      </c>
      <c r="AW90" s="65">
        <f t="shared" si="231"/>
        <v>26.513081699999987</v>
      </c>
      <c r="AX90" s="65">
        <f t="shared" si="232"/>
        <v>121.51477799999998</v>
      </c>
      <c r="AY90" s="65">
        <f t="shared" si="233"/>
        <v>30.932370300000002</v>
      </c>
      <c r="AZ90" s="65">
        <f t="shared" si="234"/>
        <v>8.8378544999999988</v>
      </c>
      <c r="BA90" s="86">
        <f t="shared" si="235"/>
        <v>1.7675708999999999</v>
      </c>
      <c r="BB90" s="83">
        <f t="shared" si="236"/>
        <v>265.53749999999997</v>
      </c>
      <c r="BC90" s="67">
        <f t="shared" si="237"/>
        <v>486.81875000000002</v>
      </c>
      <c r="BD90" s="67">
        <f t="shared" si="238"/>
        <v>309.79375000000005</v>
      </c>
      <c r="BE90" s="68">
        <f t="shared" si="239"/>
        <v>44.256250000000001</v>
      </c>
      <c r="BF90" s="68">
        <f t="shared" si="240"/>
        <v>8.8512500000000003</v>
      </c>
      <c r="BG90" s="67">
        <f t="shared" si="241"/>
        <v>26.873993699999986</v>
      </c>
      <c r="BH90" s="67">
        <f t="shared" si="242"/>
        <v>122.21178199999999</v>
      </c>
      <c r="BI90" s="67">
        <f t="shared" si="243"/>
        <v>31.359055300000001</v>
      </c>
      <c r="BJ90" s="68">
        <f t="shared" si="244"/>
        <v>8.904831999999999</v>
      </c>
      <c r="BK90" s="68">
        <f t="shared" si="245"/>
        <v>1.7809663999999998</v>
      </c>
      <c r="BL90" s="67">
        <f t="shared" si="246"/>
        <v>238.66350629999999</v>
      </c>
      <c r="BM90" s="67">
        <f t="shared" si="247"/>
        <v>364.60696800000005</v>
      </c>
      <c r="BN90" s="67">
        <f t="shared" si="248"/>
        <v>278.43469470000002</v>
      </c>
      <c r="BO90" s="68">
        <f t="shared" si="249"/>
        <v>35.351418000000002</v>
      </c>
      <c r="BP90" s="76">
        <f t="shared" si="250"/>
        <v>7.0702836000000007</v>
      </c>
      <c r="BQ90" s="33">
        <v>18000</v>
      </c>
      <c r="BR90" s="8">
        <v>0</v>
      </c>
      <c r="BS90" t="s">
        <v>129</v>
      </c>
    </row>
    <row r="91" spans="1:71" x14ac:dyDescent="0.25">
      <c r="A91" s="52"/>
      <c r="B91" s="52">
        <v>19</v>
      </c>
      <c r="C91" s="53" t="s">
        <v>62</v>
      </c>
      <c r="D91" s="118">
        <v>9984</v>
      </c>
      <c r="E91" s="103" t="s">
        <v>192</v>
      </c>
      <c r="F91" s="36" t="s">
        <v>270</v>
      </c>
      <c r="G91" s="110">
        <v>10594</v>
      </c>
      <c r="H91" s="110">
        <v>5767</v>
      </c>
      <c r="I91" s="107">
        <f t="shared" si="200"/>
        <v>16361</v>
      </c>
      <c r="J91" s="98">
        <f t="shared" si="197"/>
        <v>0.98942797810081173</v>
      </c>
      <c r="K91" s="99">
        <v>10482</v>
      </c>
      <c r="L91" s="94">
        <f t="shared" si="198"/>
        <v>1.057202189918822E-2</v>
      </c>
      <c r="M91" s="89">
        <f t="shared" si="199"/>
        <v>112</v>
      </c>
      <c r="N91" s="91">
        <f t="shared" si="201"/>
        <v>2.4527999999999999</v>
      </c>
      <c r="O91" s="182">
        <f t="shared" si="202"/>
        <v>4.4968000000000004</v>
      </c>
      <c r="P91" s="130">
        <f t="shared" si="203"/>
        <v>2.8616000000000001</v>
      </c>
      <c r="Q91" s="130">
        <f t="shared" si="204"/>
        <v>0.4088</v>
      </c>
      <c r="R91" s="64">
        <f t="shared" si="205"/>
        <v>8.1759999999999999E-2</v>
      </c>
      <c r="S91" s="130">
        <f t="shared" si="206"/>
        <v>0.17537520000000001</v>
      </c>
      <c r="T91" s="130">
        <f t="shared" si="207"/>
        <v>0.24282720000000002</v>
      </c>
      <c r="U91" s="130">
        <f t="shared" si="208"/>
        <v>0.22933680000000001</v>
      </c>
      <c r="V91" s="130">
        <f t="shared" si="209"/>
        <v>3.3725999999999999E-2</v>
      </c>
      <c r="W91" s="130">
        <f t="shared" si="210"/>
        <v>6.7452000000000007E-3</v>
      </c>
      <c r="X91" s="130">
        <f t="shared" si="211"/>
        <v>0.25631759999999998</v>
      </c>
      <c r="Y91" s="130">
        <f t="shared" si="212"/>
        <v>0.35075040000000002</v>
      </c>
      <c r="Z91" s="130">
        <f t="shared" si="213"/>
        <v>0.24282720000000002</v>
      </c>
      <c r="AA91" s="130">
        <f t="shared" si="214"/>
        <v>0</v>
      </c>
      <c r="AB91" s="130">
        <f t="shared" si="215"/>
        <v>0</v>
      </c>
      <c r="AC91" s="181">
        <f t="shared" si="216"/>
        <v>2.0211071999999999</v>
      </c>
      <c r="AD91" s="181">
        <f t="shared" si="217"/>
        <v>3.9032224000000006</v>
      </c>
      <c r="AE91" s="181">
        <f t="shared" si="218"/>
        <v>2.3894359999999999</v>
      </c>
      <c r="AF91" s="181">
        <f t="shared" si="219"/>
        <v>0.37507400000000002</v>
      </c>
      <c r="AG91" s="181">
        <f t="shared" si="220"/>
        <v>7.5014799999999993E-2</v>
      </c>
      <c r="AH91" s="85">
        <f t="shared" si="221"/>
        <v>355.85309999999998</v>
      </c>
      <c r="AI91" s="135">
        <f t="shared" si="222"/>
        <v>652.39734999999996</v>
      </c>
      <c r="AJ91" s="135">
        <f t="shared" si="223"/>
        <v>415.16194999999999</v>
      </c>
      <c r="AK91" s="135">
        <f t="shared" si="224"/>
        <v>59.30885</v>
      </c>
      <c r="AL91" s="65">
        <f t="shared" si="225"/>
        <v>11.86177</v>
      </c>
      <c r="AM91" s="66">
        <v>0.9</v>
      </c>
      <c r="AN91" s="66">
        <v>0.75</v>
      </c>
      <c r="AO91" s="66">
        <v>0.9</v>
      </c>
      <c r="AP91" s="66">
        <v>0.8</v>
      </c>
      <c r="AQ91" s="66">
        <v>0.8</v>
      </c>
      <c r="AR91" s="65">
        <f t="shared" si="226"/>
        <v>320.42562767999999</v>
      </c>
      <c r="AS91" s="65">
        <f t="shared" si="227"/>
        <v>489.48013289999994</v>
      </c>
      <c r="AT91" s="65">
        <f t="shared" si="228"/>
        <v>373.85215812000001</v>
      </c>
      <c r="AU91" s="65">
        <f t="shared" si="229"/>
        <v>47.474060800000004</v>
      </c>
      <c r="AV91" s="65">
        <f t="shared" si="230"/>
        <v>9.4948121600000004</v>
      </c>
      <c r="AW91" s="65">
        <f t="shared" si="231"/>
        <v>35.602847520000012</v>
      </c>
      <c r="AX91" s="65">
        <f t="shared" si="232"/>
        <v>163.16004429999998</v>
      </c>
      <c r="AY91" s="65">
        <f t="shared" si="233"/>
        <v>41.539128679999976</v>
      </c>
      <c r="AZ91" s="65">
        <f t="shared" si="234"/>
        <v>11.868515199999997</v>
      </c>
      <c r="BA91" s="86">
        <f t="shared" si="235"/>
        <v>2.3737030399999988</v>
      </c>
      <c r="BB91" s="83">
        <f t="shared" si="236"/>
        <v>358.30590000000001</v>
      </c>
      <c r="BC91" s="67">
        <f t="shared" si="237"/>
        <v>656.89414999999997</v>
      </c>
      <c r="BD91" s="67">
        <f t="shared" si="238"/>
        <v>418.02355</v>
      </c>
      <c r="BE91" s="68">
        <f t="shared" si="239"/>
        <v>59.717649999999999</v>
      </c>
      <c r="BF91" s="68">
        <f t="shared" si="240"/>
        <v>11.943529999999999</v>
      </c>
      <c r="BG91" s="67">
        <f t="shared" si="241"/>
        <v>37.623954720000015</v>
      </c>
      <c r="BH91" s="67">
        <f t="shared" si="242"/>
        <v>167.06326669999999</v>
      </c>
      <c r="BI91" s="67">
        <f t="shared" si="243"/>
        <v>43.92856467999998</v>
      </c>
      <c r="BJ91" s="68">
        <f t="shared" si="244"/>
        <v>12.243589199999997</v>
      </c>
      <c r="BK91" s="68">
        <f t="shared" si="245"/>
        <v>2.4487178399999987</v>
      </c>
      <c r="BL91" s="67">
        <f t="shared" si="246"/>
        <v>320.68194527999998</v>
      </c>
      <c r="BM91" s="67">
        <f t="shared" si="247"/>
        <v>489.83088329999993</v>
      </c>
      <c r="BN91" s="67">
        <f t="shared" si="248"/>
        <v>374.09498532000003</v>
      </c>
      <c r="BO91" s="68">
        <f t="shared" si="249"/>
        <v>47.474060800000004</v>
      </c>
      <c r="BP91" s="76">
        <f t="shared" si="250"/>
        <v>9.4948121600000004</v>
      </c>
      <c r="BQ91" s="33">
        <v>227559</v>
      </c>
      <c r="BR91" s="8">
        <v>657408</v>
      </c>
      <c r="BS91" t="s">
        <v>227</v>
      </c>
    </row>
    <row r="92" spans="1:71" x14ac:dyDescent="0.25">
      <c r="A92" s="52"/>
      <c r="B92" s="52">
        <v>39</v>
      </c>
      <c r="C92" s="53" t="s">
        <v>82</v>
      </c>
      <c r="D92" s="118">
        <v>4447</v>
      </c>
      <c r="E92" s="103" t="s">
        <v>200</v>
      </c>
      <c r="F92" s="36" t="s">
        <v>270</v>
      </c>
      <c r="G92" s="110">
        <v>4988</v>
      </c>
      <c r="H92" s="110">
        <v>1433</v>
      </c>
      <c r="I92" s="107">
        <f t="shared" si="200"/>
        <v>6421</v>
      </c>
      <c r="J92" s="98">
        <f t="shared" si="197"/>
        <v>0.97233360064153973</v>
      </c>
      <c r="K92" s="99">
        <v>4850</v>
      </c>
      <c r="L92" s="94">
        <f t="shared" si="198"/>
        <v>2.7666399358460304E-2</v>
      </c>
      <c r="M92" s="89">
        <f t="shared" si="199"/>
        <v>138</v>
      </c>
      <c r="N92" s="91">
        <f t="shared" si="201"/>
        <v>3.0222000000000002</v>
      </c>
      <c r="O92" s="182">
        <f t="shared" si="202"/>
        <v>5.5407000000000002</v>
      </c>
      <c r="P92" s="130">
        <f t="shared" si="203"/>
        <v>3.5259</v>
      </c>
      <c r="Q92" s="130">
        <f t="shared" si="204"/>
        <v>0.50370000000000004</v>
      </c>
      <c r="R92" s="64">
        <f t="shared" si="205"/>
        <v>0.10074</v>
      </c>
      <c r="S92" s="130">
        <f t="shared" si="206"/>
        <v>0.21608730000000001</v>
      </c>
      <c r="T92" s="130">
        <f t="shared" si="207"/>
        <v>0.29919780000000001</v>
      </c>
      <c r="U92" s="130">
        <f t="shared" si="208"/>
        <v>0.28257569999999999</v>
      </c>
      <c r="V92" s="130">
        <f t="shared" si="209"/>
        <v>4.1555250000000002E-2</v>
      </c>
      <c r="W92" s="130">
        <f t="shared" si="210"/>
        <v>8.3110500000000004E-3</v>
      </c>
      <c r="X92" s="130">
        <f t="shared" si="211"/>
        <v>0.31581990000000004</v>
      </c>
      <c r="Y92" s="130">
        <f t="shared" si="212"/>
        <v>0.43217460000000002</v>
      </c>
      <c r="Z92" s="130">
        <f t="shared" si="213"/>
        <v>0.29919780000000001</v>
      </c>
      <c r="AA92" s="130">
        <f t="shared" si="214"/>
        <v>0</v>
      </c>
      <c r="AB92" s="130">
        <f t="shared" si="215"/>
        <v>0</v>
      </c>
      <c r="AC92" s="181">
        <f t="shared" si="216"/>
        <v>2.4902928000000002</v>
      </c>
      <c r="AD92" s="181">
        <f t="shared" si="217"/>
        <v>4.8093276000000005</v>
      </c>
      <c r="AE92" s="181">
        <f t="shared" si="218"/>
        <v>2.9441265000000003</v>
      </c>
      <c r="AF92" s="181">
        <f t="shared" si="219"/>
        <v>0.46214475000000005</v>
      </c>
      <c r="AG92" s="181">
        <f t="shared" si="220"/>
        <v>9.2428949999999996E-2</v>
      </c>
      <c r="AH92" s="85">
        <f t="shared" si="221"/>
        <v>137.5977</v>
      </c>
      <c r="AI92" s="135">
        <f t="shared" si="222"/>
        <v>252.26245</v>
      </c>
      <c r="AJ92" s="135">
        <f t="shared" si="223"/>
        <v>160.53065000000001</v>
      </c>
      <c r="AK92" s="135">
        <f t="shared" si="224"/>
        <v>22.932950000000002</v>
      </c>
      <c r="AL92" s="65">
        <f t="shared" si="225"/>
        <v>4.5865900000000002</v>
      </c>
      <c r="AM92" s="66">
        <v>0.9</v>
      </c>
      <c r="AN92" s="66">
        <v>0.75</v>
      </c>
      <c r="AO92" s="66">
        <v>0.9</v>
      </c>
      <c r="AP92" s="66">
        <v>0.1</v>
      </c>
      <c r="AQ92" s="66">
        <v>0.1</v>
      </c>
      <c r="AR92" s="65">
        <f t="shared" si="226"/>
        <v>124.03240857</v>
      </c>
      <c r="AS92" s="65">
        <f t="shared" si="227"/>
        <v>189.42123585000002</v>
      </c>
      <c r="AT92" s="65">
        <f t="shared" si="228"/>
        <v>144.73190313000001</v>
      </c>
      <c r="AU92" s="65">
        <f t="shared" si="229"/>
        <v>2.2974505249999999</v>
      </c>
      <c r="AV92" s="65">
        <f t="shared" si="230"/>
        <v>0.45949010499999998</v>
      </c>
      <c r="AW92" s="65">
        <f t="shared" si="231"/>
        <v>13.78137873</v>
      </c>
      <c r="AX92" s="65">
        <f t="shared" si="232"/>
        <v>63.140411949999987</v>
      </c>
      <c r="AY92" s="65">
        <f t="shared" si="233"/>
        <v>16.081322569999998</v>
      </c>
      <c r="AZ92" s="65">
        <f t="shared" si="234"/>
        <v>20.677054725000001</v>
      </c>
      <c r="BA92" s="86">
        <f t="shared" si="235"/>
        <v>4.1354109450000003</v>
      </c>
      <c r="BB92" s="83">
        <f t="shared" si="236"/>
        <v>140.6199</v>
      </c>
      <c r="BC92" s="67">
        <f t="shared" si="237"/>
        <v>257.80315000000002</v>
      </c>
      <c r="BD92" s="67">
        <f t="shared" si="238"/>
        <v>164.05655000000002</v>
      </c>
      <c r="BE92" s="68">
        <f t="shared" si="239"/>
        <v>23.43665</v>
      </c>
      <c r="BF92" s="68">
        <f t="shared" si="240"/>
        <v>4.6873300000000002</v>
      </c>
      <c r="BG92" s="67">
        <f t="shared" si="241"/>
        <v>16.271671529999999</v>
      </c>
      <c r="BH92" s="67">
        <f t="shared" si="242"/>
        <v>67.94973954999999</v>
      </c>
      <c r="BI92" s="67">
        <f t="shared" si="243"/>
        <v>19.025449069999997</v>
      </c>
      <c r="BJ92" s="68">
        <f t="shared" si="244"/>
        <v>21.139199475000002</v>
      </c>
      <c r="BK92" s="68">
        <f t="shared" si="245"/>
        <v>4.2278398950000007</v>
      </c>
      <c r="BL92" s="67">
        <f t="shared" si="246"/>
        <v>124.34822847</v>
      </c>
      <c r="BM92" s="67">
        <f t="shared" si="247"/>
        <v>189.85341045000001</v>
      </c>
      <c r="BN92" s="67">
        <f t="shared" si="248"/>
        <v>145.03110093000001</v>
      </c>
      <c r="BO92" s="68">
        <f t="shared" si="249"/>
        <v>2.2974505249999999</v>
      </c>
      <c r="BP92" s="76">
        <f t="shared" si="250"/>
        <v>0.45949010499999998</v>
      </c>
      <c r="BQ92" s="33">
        <v>161035</v>
      </c>
      <c r="BR92" s="8">
        <v>0</v>
      </c>
      <c r="BS92" t="s">
        <v>129</v>
      </c>
    </row>
    <row r="93" spans="1:71" ht="78" customHeight="1" x14ac:dyDescent="0.25">
      <c r="A93" s="52"/>
      <c r="B93" s="52">
        <v>42</v>
      </c>
      <c r="C93" s="53" t="s">
        <v>84</v>
      </c>
      <c r="D93" s="118">
        <v>3852</v>
      </c>
      <c r="E93" s="103" t="s">
        <v>147</v>
      </c>
      <c r="F93" s="36" t="s">
        <v>270</v>
      </c>
      <c r="G93" s="110">
        <v>4398</v>
      </c>
      <c r="H93" s="111">
        <v>0</v>
      </c>
      <c r="I93" s="107">
        <f t="shared" si="200"/>
        <v>4398</v>
      </c>
      <c r="J93" s="98">
        <f t="shared" si="197"/>
        <v>1</v>
      </c>
      <c r="K93" s="99">
        <v>4398</v>
      </c>
      <c r="L93" s="94">
        <f t="shared" si="198"/>
        <v>0</v>
      </c>
      <c r="M93" s="89">
        <f t="shared" si="199"/>
        <v>0</v>
      </c>
      <c r="N93" s="91">
        <f t="shared" si="201"/>
        <v>0</v>
      </c>
      <c r="O93" s="182">
        <f t="shared" si="202"/>
        <v>0</v>
      </c>
      <c r="P93" s="130">
        <f t="shared" si="203"/>
        <v>0</v>
      </c>
      <c r="Q93" s="130">
        <f t="shared" si="204"/>
        <v>0</v>
      </c>
      <c r="R93" s="64">
        <f t="shared" si="205"/>
        <v>0</v>
      </c>
      <c r="S93" s="130">
        <f t="shared" si="206"/>
        <v>0</v>
      </c>
      <c r="T93" s="130">
        <f t="shared" si="207"/>
        <v>0</v>
      </c>
      <c r="U93" s="130">
        <f t="shared" si="208"/>
        <v>0</v>
      </c>
      <c r="V93" s="130">
        <f t="shared" si="209"/>
        <v>0</v>
      </c>
      <c r="W93" s="130">
        <f t="shared" si="210"/>
        <v>0</v>
      </c>
      <c r="X93" s="130">
        <f t="shared" si="211"/>
        <v>0</v>
      </c>
      <c r="Y93" s="130">
        <f t="shared" si="212"/>
        <v>0</v>
      </c>
      <c r="Z93" s="130">
        <f t="shared" si="213"/>
        <v>0</v>
      </c>
      <c r="AA93" s="130">
        <f t="shared" si="214"/>
        <v>0</v>
      </c>
      <c r="AB93" s="130">
        <f t="shared" si="215"/>
        <v>0</v>
      </c>
      <c r="AC93" s="181">
        <f t="shared" si="216"/>
        <v>0</v>
      </c>
      <c r="AD93" s="181">
        <f t="shared" si="217"/>
        <v>0</v>
      </c>
      <c r="AE93" s="181">
        <f t="shared" si="218"/>
        <v>0</v>
      </c>
      <c r="AF93" s="181">
        <f t="shared" si="219"/>
        <v>0</v>
      </c>
      <c r="AG93" s="181">
        <f t="shared" si="220"/>
        <v>0</v>
      </c>
      <c r="AH93" s="85">
        <f t="shared" si="221"/>
        <v>96.316199999999995</v>
      </c>
      <c r="AI93" s="135">
        <f t="shared" si="222"/>
        <v>176.5797</v>
      </c>
      <c r="AJ93" s="135">
        <f t="shared" si="223"/>
        <v>112.3689</v>
      </c>
      <c r="AK93" s="135">
        <f t="shared" si="224"/>
        <v>16.052700000000002</v>
      </c>
      <c r="AL93" s="65">
        <f t="shared" si="225"/>
        <v>3.2105399999999999</v>
      </c>
      <c r="AM93" s="66">
        <v>0.9</v>
      </c>
      <c r="AN93" s="66">
        <v>0.75</v>
      </c>
      <c r="AO93" s="66">
        <v>0.9</v>
      </c>
      <c r="AP93" s="66">
        <v>0.1</v>
      </c>
      <c r="AQ93" s="66">
        <v>0.1</v>
      </c>
      <c r="AR93" s="65">
        <f t="shared" si="226"/>
        <v>86.684579999999997</v>
      </c>
      <c r="AS93" s="65">
        <f t="shared" si="227"/>
        <v>132.434775</v>
      </c>
      <c r="AT93" s="65">
        <f t="shared" si="228"/>
        <v>101.13200999999999</v>
      </c>
      <c r="AU93" s="65">
        <f t="shared" si="229"/>
        <v>1.6052700000000002</v>
      </c>
      <c r="AV93" s="65">
        <f t="shared" si="230"/>
        <v>0.32105400000000001</v>
      </c>
      <c r="AW93" s="65">
        <f t="shared" si="231"/>
        <v>9.6316199999999981</v>
      </c>
      <c r="AX93" s="65">
        <f t="shared" si="232"/>
        <v>44.144925000000001</v>
      </c>
      <c r="AY93" s="65">
        <f t="shared" si="233"/>
        <v>11.236890000000002</v>
      </c>
      <c r="AZ93" s="65">
        <f t="shared" si="234"/>
        <v>14.447430000000001</v>
      </c>
      <c r="BA93" s="86">
        <f t="shared" si="235"/>
        <v>2.8894859999999998</v>
      </c>
      <c r="BB93" s="83">
        <f t="shared" si="236"/>
        <v>96.316199999999995</v>
      </c>
      <c r="BC93" s="67">
        <f t="shared" si="237"/>
        <v>176.5797</v>
      </c>
      <c r="BD93" s="67">
        <f t="shared" si="238"/>
        <v>112.3689</v>
      </c>
      <c r="BE93" s="68">
        <f t="shared" si="239"/>
        <v>16.052700000000002</v>
      </c>
      <c r="BF93" s="68">
        <f t="shared" si="240"/>
        <v>3.2105399999999999</v>
      </c>
      <c r="BG93" s="67">
        <f t="shared" si="241"/>
        <v>9.6316199999999981</v>
      </c>
      <c r="BH93" s="67">
        <f t="shared" si="242"/>
        <v>44.144925000000001</v>
      </c>
      <c r="BI93" s="67">
        <f t="shared" si="243"/>
        <v>11.236890000000002</v>
      </c>
      <c r="BJ93" s="68">
        <f t="shared" si="244"/>
        <v>14.447430000000001</v>
      </c>
      <c r="BK93" s="68">
        <f t="shared" si="245"/>
        <v>2.8894859999999998</v>
      </c>
      <c r="BL93" s="67">
        <f t="shared" si="246"/>
        <v>86.684579999999997</v>
      </c>
      <c r="BM93" s="67">
        <f t="shared" si="247"/>
        <v>132.434775</v>
      </c>
      <c r="BN93" s="67">
        <f t="shared" si="248"/>
        <v>101.13200999999999</v>
      </c>
      <c r="BO93" s="68">
        <f t="shared" si="249"/>
        <v>1.6052700000000002</v>
      </c>
      <c r="BP93" s="76">
        <f t="shared" si="250"/>
        <v>0.32105400000000001</v>
      </c>
      <c r="BQ93" s="33">
        <v>0</v>
      </c>
      <c r="BR93" s="8">
        <v>0</v>
      </c>
      <c r="BS93" t="s">
        <v>3</v>
      </c>
    </row>
    <row r="94" spans="1:71" x14ac:dyDescent="0.25">
      <c r="A94" s="52"/>
      <c r="B94" s="52">
        <v>44</v>
      </c>
      <c r="C94" s="53" t="s">
        <v>89</v>
      </c>
      <c r="D94" s="118">
        <v>3766</v>
      </c>
      <c r="E94" s="103" t="s">
        <v>199</v>
      </c>
      <c r="F94" s="36" t="s">
        <v>270</v>
      </c>
      <c r="G94" s="110">
        <v>4263</v>
      </c>
      <c r="H94" s="111">
        <v>320</v>
      </c>
      <c r="I94" s="107">
        <f t="shared" si="200"/>
        <v>4583</v>
      </c>
      <c r="J94" s="98">
        <f t="shared" si="197"/>
        <v>0.96152943936195168</v>
      </c>
      <c r="K94" s="99">
        <v>4099</v>
      </c>
      <c r="L94" s="94">
        <f t="shared" si="198"/>
        <v>3.8470560638048323E-2</v>
      </c>
      <c r="M94" s="89">
        <f t="shared" si="199"/>
        <v>164</v>
      </c>
      <c r="N94" s="91">
        <f t="shared" si="201"/>
        <v>3.5916000000000001</v>
      </c>
      <c r="O94" s="182">
        <f t="shared" si="202"/>
        <v>6.5846</v>
      </c>
      <c r="P94" s="130">
        <f t="shared" si="203"/>
        <v>4.1901999999999999</v>
      </c>
      <c r="Q94" s="130">
        <f t="shared" si="204"/>
        <v>0.59860000000000002</v>
      </c>
      <c r="R94" s="64">
        <f t="shared" si="205"/>
        <v>0.11971999999999999</v>
      </c>
      <c r="S94" s="130">
        <f t="shared" si="206"/>
        <v>0.25679940000000001</v>
      </c>
      <c r="T94" s="130">
        <f t="shared" si="207"/>
        <v>0.35556840000000001</v>
      </c>
      <c r="U94" s="130">
        <f t="shared" si="208"/>
        <v>0.33581460000000002</v>
      </c>
      <c r="V94" s="130">
        <f t="shared" si="209"/>
        <v>4.9384500000000005E-2</v>
      </c>
      <c r="W94" s="130">
        <f t="shared" si="210"/>
        <v>9.8768999999999992E-3</v>
      </c>
      <c r="X94" s="130">
        <f t="shared" si="211"/>
        <v>0.37532220000000005</v>
      </c>
      <c r="Y94" s="130">
        <f t="shared" si="212"/>
        <v>0.51359880000000002</v>
      </c>
      <c r="Z94" s="130">
        <f t="shared" si="213"/>
        <v>0.35556840000000001</v>
      </c>
      <c r="AA94" s="130">
        <f t="shared" si="214"/>
        <v>0</v>
      </c>
      <c r="AB94" s="130">
        <f t="shared" si="215"/>
        <v>0</v>
      </c>
      <c r="AC94" s="181">
        <f t="shared" si="216"/>
        <v>2.9594784000000001</v>
      </c>
      <c r="AD94" s="181">
        <f t="shared" si="217"/>
        <v>5.7154328000000003</v>
      </c>
      <c r="AE94" s="181">
        <f t="shared" si="218"/>
        <v>3.4988169999999998</v>
      </c>
      <c r="AF94" s="181">
        <f t="shared" si="219"/>
        <v>0.54921549999999997</v>
      </c>
      <c r="AG94" s="181">
        <f t="shared" si="220"/>
        <v>0.1098431</v>
      </c>
      <c r="AH94" s="85">
        <f t="shared" si="221"/>
        <v>96.7761</v>
      </c>
      <c r="AI94" s="135">
        <f t="shared" si="222"/>
        <v>177.42285000000001</v>
      </c>
      <c r="AJ94" s="135">
        <f t="shared" si="223"/>
        <v>112.90545</v>
      </c>
      <c r="AK94" s="135">
        <f t="shared" si="224"/>
        <v>16.129349999999999</v>
      </c>
      <c r="AL94" s="65">
        <f t="shared" si="225"/>
        <v>3.22587</v>
      </c>
      <c r="AM94" s="66">
        <v>0.9</v>
      </c>
      <c r="AN94" s="66">
        <v>0.75</v>
      </c>
      <c r="AO94" s="66">
        <v>0.9</v>
      </c>
      <c r="AP94" s="66">
        <v>0.1</v>
      </c>
      <c r="AQ94" s="66">
        <v>0.1</v>
      </c>
      <c r="AR94" s="65">
        <f t="shared" si="226"/>
        <v>87.32960946</v>
      </c>
      <c r="AS94" s="65">
        <f t="shared" si="227"/>
        <v>133.33381380000003</v>
      </c>
      <c r="AT94" s="65">
        <f t="shared" si="228"/>
        <v>101.91713814000001</v>
      </c>
      <c r="AU94" s="65">
        <f t="shared" si="229"/>
        <v>1.6178734499999998</v>
      </c>
      <c r="AV94" s="65">
        <f t="shared" si="230"/>
        <v>0.32357469000000005</v>
      </c>
      <c r="AW94" s="65">
        <f t="shared" si="231"/>
        <v>9.7032899400000048</v>
      </c>
      <c r="AX94" s="65">
        <f t="shared" si="232"/>
        <v>44.444604599999991</v>
      </c>
      <c r="AY94" s="65">
        <f t="shared" si="233"/>
        <v>11.324126460000002</v>
      </c>
      <c r="AZ94" s="65">
        <f t="shared" si="234"/>
        <v>14.560861049999998</v>
      </c>
      <c r="BA94" s="86">
        <f t="shared" si="235"/>
        <v>2.91217221</v>
      </c>
      <c r="BB94" s="83">
        <f t="shared" si="236"/>
        <v>100.3677</v>
      </c>
      <c r="BC94" s="67">
        <f t="shared" si="237"/>
        <v>184.00745000000001</v>
      </c>
      <c r="BD94" s="67">
        <f t="shared" si="238"/>
        <v>117.09565000000001</v>
      </c>
      <c r="BE94" s="68">
        <f t="shared" si="239"/>
        <v>16.72795</v>
      </c>
      <c r="BF94" s="68">
        <f t="shared" si="240"/>
        <v>3.3455900000000001</v>
      </c>
      <c r="BG94" s="67">
        <f t="shared" si="241"/>
        <v>12.662768340000005</v>
      </c>
      <c r="BH94" s="67">
        <f t="shared" si="242"/>
        <v>50.160037399999993</v>
      </c>
      <c r="BI94" s="67">
        <f t="shared" si="243"/>
        <v>14.822943460000001</v>
      </c>
      <c r="BJ94" s="68">
        <f t="shared" si="244"/>
        <v>15.110076549999999</v>
      </c>
      <c r="BK94" s="68">
        <f t="shared" si="245"/>
        <v>3.02201531</v>
      </c>
      <c r="BL94" s="67">
        <f t="shared" si="246"/>
        <v>87.70493166</v>
      </c>
      <c r="BM94" s="67">
        <f t="shared" si="247"/>
        <v>133.84741260000004</v>
      </c>
      <c r="BN94" s="67">
        <f t="shared" si="248"/>
        <v>102.27270654</v>
      </c>
      <c r="BO94" s="68">
        <f t="shared" si="249"/>
        <v>1.6178734499999998</v>
      </c>
      <c r="BP94" s="76">
        <f t="shared" si="250"/>
        <v>0.32357469000000005</v>
      </c>
      <c r="BQ94" s="33">
        <v>98050</v>
      </c>
      <c r="BR94" s="8">
        <v>257190</v>
      </c>
      <c r="BS94" t="s">
        <v>198</v>
      </c>
    </row>
    <row r="95" spans="1:71" ht="30" x14ac:dyDescent="0.25">
      <c r="A95" s="52"/>
      <c r="B95" s="52">
        <v>53</v>
      </c>
      <c r="C95" s="53" t="s">
        <v>88</v>
      </c>
      <c r="D95" s="118">
        <v>3003</v>
      </c>
      <c r="E95" s="115" t="s">
        <v>153</v>
      </c>
      <c r="F95" s="40" t="s">
        <v>270</v>
      </c>
      <c r="G95" s="110">
        <v>2836</v>
      </c>
      <c r="H95" s="111">
        <v>25</v>
      </c>
      <c r="I95" s="107">
        <f t="shared" si="200"/>
        <v>2861</v>
      </c>
      <c r="J95" s="98">
        <f t="shared" si="197"/>
        <v>0.94781382228490829</v>
      </c>
      <c r="K95" s="99">
        <v>2688</v>
      </c>
      <c r="L95" s="94">
        <f t="shared" si="198"/>
        <v>5.2186177715091681E-2</v>
      </c>
      <c r="M95" s="89">
        <f t="shared" si="199"/>
        <v>148</v>
      </c>
      <c r="N95" s="91">
        <f t="shared" si="201"/>
        <v>3.2412000000000001</v>
      </c>
      <c r="O95" s="182">
        <f t="shared" si="202"/>
        <v>5.9421999999999997</v>
      </c>
      <c r="P95" s="130">
        <f t="shared" si="203"/>
        <v>3.7814000000000001</v>
      </c>
      <c r="Q95" s="130">
        <f t="shared" si="204"/>
        <v>0.54020000000000001</v>
      </c>
      <c r="R95" s="64">
        <f t="shared" si="205"/>
        <v>0.10804</v>
      </c>
      <c r="S95" s="130">
        <f t="shared" si="206"/>
        <v>0.2317458</v>
      </c>
      <c r="T95" s="130">
        <f t="shared" si="207"/>
        <v>0.32087880000000002</v>
      </c>
      <c r="U95" s="130">
        <f t="shared" si="208"/>
        <v>0.30305220000000005</v>
      </c>
      <c r="V95" s="130">
        <f t="shared" si="209"/>
        <v>4.4566500000000002E-2</v>
      </c>
      <c r="W95" s="130">
        <f t="shared" si="210"/>
        <v>8.9133000000000007E-3</v>
      </c>
      <c r="X95" s="130">
        <f t="shared" si="211"/>
        <v>0.33870540000000005</v>
      </c>
      <c r="Y95" s="130">
        <f t="shared" si="212"/>
        <v>0.4634916</v>
      </c>
      <c r="Z95" s="130">
        <f t="shared" si="213"/>
        <v>0.32087880000000002</v>
      </c>
      <c r="AA95" s="130">
        <f t="shared" si="214"/>
        <v>0</v>
      </c>
      <c r="AB95" s="130">
        <f t="shared" si="215"/>
        <v>0</v>
      </c>
      <c r="AC95" s="181">
        <f t="shared" si="216"/>
        <v>2.6707488000000001</v>
      </c>
      <c r="AD95" s="181">
        <f t="shared" si="217"/>
        <v>5.1578295999999995</v>
      </c>
      <c r="AE95" s="181">
        <f t="shared" si="218"/>
        <v>3.1574689999999999</v>
      </c>
      <c r="AF95" s="181">
        <f t="shared" si="219"/>
        <v>0.4956335</v>
      </c>
      <c r="AG95" s="181">
        <f t="shared" si="220"/>
        <v>9.9126699999999998E-2</v>
      </c>
      <c r="AH95" s="85">
        <f t="shared" si="221"/>
        <v>59.414700000000003</v>
      </c>
      <c r="AI95" s="135">
        <f t="shared" si="222"/>
        <v>108.92695000000001</v>
      </c>
      <c r="AJ95" s="135">
        <f t="shared" si="223"/>
        <v>69.317149999999998</v>
      </c>
      <c r="AK95" s="135">
        <f t="shared" si="224"/>
        <v>9.90245</v>
      </c>
      <c r="AL95" s="65">
        <f t="shared" si="225"/>
        <v>1.9804900000000001</v>
      </c>
      <c r="AM95" s="66">
        <v>0.9</v>
      </c>
      <c r="AN95" s="66">
        <v>0.75</v>
      </c>
      <c r="AO95" s="66">
        <v>0.9</v>
      </c>
      <c r="AP95" s="66">
        <v>0.1</v>
      </c>
      <c r="AQ95" s="66">
        <v>0.1</v>
      </c>
      <c r="AR95" s="65">
        <f t="shared" si="226"/>
        <v>53.681801220000004</v>
      </c>
      <c r="AS95" s="65">
        <f t="shared" si="227"/>
        <v>81.935871600000013</v>
      </c>
      <c r="AT95" s="65">
        <f t="shared" si="228"/>
        <v>62.658181979999995</v>
      </c>
      <c r="AU95" s="65">
        <f t="shared" si="229"/>
        <v>0.9947016500000001</v>
      </c>
      <c r="AV95" s="65">
        <f t="shared" si="230"/>
        <v>0.19894033</v>
      </c>
      <c r="AW95" s="65">
        <f t="shared" si="231"/>
        <v>5.9646445799999981</v>
      </c>
      <c r="AX95" s="65">
        <f t="shared" si="232"/>
        <v>27.311957199999995</v>
      </c>
      <c r="AY95" s="65">
        <f t="shared" si="233"/>
        <v>6.9620202199999994</v>
      </c>
      <c r="AZ95" s="65">
        <f t="shared" si="234"/>
        <v>8.9523148500000005</v>
      </c>
      <c r="BA95" s="86">
        <f t="shared" si="235"/>
        <v>1.7904629700000001</v>
      </c>
      <c r="BB95" s="83">
        <f t="shared" si="236"/>
        <v>62.655900000000003</v>
      </c>
      <c r="BC95" s="67">
        <f t="shared" si="237"/>
        <v>114.86915</v>
      </c>
      <c r="BD95" s="67">
        <f t="shared" si="238"/>
        <v>73.098550000000003</v>
      </c>
      <c r="BE95" s="68">
        <f t="shared" si="239"/>
        <v>10.44265</v>
      </c>
      <c r="BF95" s="68">
        <f t="shared" si="240"/>
        <v>2.08853</v>
      </c>
      <c r="BG95" s="67">
        <f t="shared" si="241"/>
        <v>8.6353933799999982</v>
      </c>
      <c r="BH95" s="67">
        <f t="shared" si="242"/>
        <v>32.469786799999994</v>
      </c>
      <c r="BI95" s="67">
        <f t="shared" si="243"/>
        <v>10.119489219999998</v>
      </c>
      <c r="BJ95" s="68">
        <f t="shared" si="244"/>
        <v>9.4479483500000008</v>
      </c>
      <c r="BK95" s="68">
        <f t="shared" si="245"/>
        <v>1.8895896700000001</v>
      </c>
      <c r="BL95" s="67">
        <f t="shared" si="246"/>
        <v>54.020506620000006</v>
      </c>
      <c r="BM95" s="67">
        <f t="shared" si="247"/>
        <v>82.39936320000001</v>
      </c>
      <c r="BN95" s="67">
        <f t="shared" si="248"/>
        <v>62.979060779999998</v>
      </c>
      <c r="BO95" s="68">
        <f t="shared" si="249"/>
        <v>0.9947016500000001</v>
      </c>
      <c r="BP95" s="76">
        <f t="shared" si="250"/>
        <v>0.19894033</v>
      </c>
      <c r="BQ95" s="33">
        <v>348000</v>
      </c>
      <c r="BR95" s="8">
        <v>267600</v>
      </c>
      <c r="BS95" t="s">
        <v>154</v>
      </c>
    </row>
    <row r="96" spans="1:71" x14ac:dyDescent="0.25">
      <c r="A96" s="52"/>
      <c r="B96" s="52">
        <v>59</v>
      </c>
      <c r="C96" s="53" t="s">
        <v>8</v>
      </c>
      <c r="D96" s="118">
        <v>2597</v>
      </c>
      <c r="E96" s="103" t="s">
        <v>203</v>
      </c>
      <c r="F96" s="36" t="s">
        <v>270</v>
      </c>
      <c r="G96" s="110">
        <v>2573</v>
      </c>
      <c r="H96" s="110">
        <v>165</v>
      </c>
      <c r="I96" s="107">
        <f t="shared" si="200"/>
        <v>2738</v>
      </c>
      <c r="J96" s="98">
        <f t="shared" si="197"/>
        <v>0.9242129809560824</v>
      </c>
      <c r="K96" s="99">
        <v>2378</v>
      </c>
      <c r="L96" s="94">
        <f t="shared" si="198"/>
        <v>7.5787019043917603E-2</v>
      </c>
      <c r="M96" s="89">
        <f t="shared" si="199"/>
        <v>195</v>
      </c>
      <c r="N96" s="91">
        <f t="shared" si="201"/>
        <v>4.2705000000000002</v>
      </c>
      <c r="O96" s="182">
        <f t="shared" si="202"/>
        <v>7.82925</v>
      </c>
      <c r="P96" s="130">
        <f t="shared" si="203"/>
        <v>4.9822499999999996</v>
      </c>
      <c r="Q96" s="130">
        <f t="shared" si="204"/>
        <v>0.71174999999999999</v>
      </c>
      <c r="R96" s="64">
        <f t="shared" si="205"/>
        <v>0.14235</v>
      </c>
      <c r="S96" s="130">
        <f t="shared" si="206"/>
        <v>0.30534074999999999</v>
      </c>
      <c r="T96" s="130">
        <f t="shared" si="207"/>
        <v>0.42277950000000003</v>
      </c>
      <c r="U96" s="130">
        <f t="shared" si="208"/>
        <v>0.39929175</v>
      </c>
      <c r="V96" s="130">
        <f t="shared" si="209"/>
        <v>5.8719375000000004E-2</v>
      </c>
      <c r="W96" s="130">
        <f t="shared" si="210"/>
        <v>1.1743875000000001E-2</v>
      </c>
      <c r="X96" s="130">
        <f t="shared" si="211"/>
        <v>0.44626725</v>
      </c>
      <c r="Y96" s="130">
        <f t="shared" si="212"/>
        <v>0.61068149999999999</v>
      </c>
      <c r="Z96" s="130">
        <f t="shared" si="213"/>
        <v>0.42277950000000003</v>
      </c>
      <c r="AA96" s="130">
        <f t="shared" si="214"/>
        <v>0</v>
      </c>
      <c r="AB96" s="130">
        <f t="shared" si="215"/>
        <v>0</v>
      </c>
      <c r="AC96" s="181">
        <f t="shared" si="216"/>
        <v>3.5188920000000001</v>
      </c>
      <c r="AD96" s="181">
        <f t="shared" si="217"/>
        <v>6.7957890000000001</v>
      </c>
      <c r="AE96" s="181">
        <f t="shared" si="218"/>
        <v>4.16017875</v>
      </c>
      <c r="AF96" s="181">
        <f t="shared" si="219"/>
        <v>0.65303062499999998</v>
      </c>
      <c r="AG96" s="181">
        <f t="shared" si="220"/>
        <v>0.13060612500000002</v>
      </c>
      <c r="AH96" s="85">
        <f t="shared" si="221"/>
        <v>55.691699999999997</v>
      </c>
      <c r="AI96" s="135">
        <f t="shared" si="222"/>
        <v>102.10145</v>
      </c>
      <c r="AJ96" s="135">
        <f t="shared" si="223"/>
        <v>64.973650000000006</v>
      </c>
      <c r="AK96" s="135">
        <f t="shared" si="224"/>
        <v>9.2819500000000001</v>
      </c>
      <c r="AL96" s="65">
        <f t="shared" si="225"/>
        <v>1.85639</v>
      </c>
      <c r="AM96" s="66">
        <v>0.9</v>
      </c>
      <c r="AN96" s="66">
        <v>0.75</v>
      </c>
      <c r="AO96" s="66">
        <v>0.9</v>
      </c>
      <c r="AP96" s="66">
        <v>0.1</v>
      </c>
      <c r="AQ96" s="66">
        <v>0.1</v>
      </c>
      <c r="AR96" s="65">
        <f t="shared" si="226"/>
        <v>50.397336674999998</v>
      </c>
      <c r="AS96" s="65">
        <f t="shared" si="227"/>
        <v>76.893172125000007</v>
      </c>
      <c r="AT96" s="65">
        <f t="shared" si="228"/>
        <v>58.83564757500001</v>
      </c>
      <c r="AU96" s="65">
        <f t="shared" si="229"/>
        <v>0.93406693750000014</v>
      </c>
      <c r="AV96" s="65">
        <f t="shared" si="230"/>
        <v>0.18681338750000001</v>
      </c>
      <c r="AW96" s="65">
        <f t="shared" si="231"/>
        <v>5.5997040749999982</v>
      </c>
      <c r="AX96" s="65">
        <f t="shared" si="232"/>
        <v>25.631057374999997</v>
      </c>
      <c r="AY96" s="65">
        <f t="shared" si="233"/>
        <v>6.5372941749999995</v>
      </c>
      <c r="AZ96" s="65">
        <f t="shared" si="234"/>
        <v>8.4066024375000001</v>
      </c>
      <c r="BA96" s="86">
        <f t="shared" si="235"/>
        <v>1.6813204875000001</v>
      </c>
      <c r="BB96" s="83">
        <f t="shared" si="236"/>
        <v>59.962199999999996</v>
      </c>
      <c r="BC96" s="67">
        <f t="shared" si="237"/>
        <v>109.9307</v>
      </c>
      <c r="BD96" s="67">
        <f t="shared" si="238"/>
        <v>69.9559</v>
      </c>
      <c r="BE96" s="68">
        <f t="shared" si="239"/>
        <v>9.9937000000000005</v>
      </c>
      <c r="BF96" s="68">
        <f t="shared" si="240"/>
        <v>1.99874</v>
      </c>
      <c r="BG96" s="67">
        <f t="shared" si="241"/>
        <v>9.1185960749999992</v>
      </c>
      <c r="BH96" s="67">
        <f t="shared" si="242"/>
        <v>32.426846374999997</v>
      </c>
      <c r="BI96" s="67">
        <f t="shared" si="243"/>
        <v>10.697472925</v>
      </c>
      <c r="BJ96" s="68">
        <f t="shared" si="244"/>
        <v>9.0596330624999997</v>
      </c>
      <c r="BK96" s="68">
        <f t="shared" si="245"/>
        <v>1.8119266125000002</v>
      </c>
      <c r="BL96" s="67">
        <f t="shared" si="246"/>
        <v>50.843603924999996</v>
      </c>
      <c r="BM96" s="67">
        <f t="shared" si="247"/>
        <v>77.503853625000005</v>
      </c>
      <c r="BN96" s="67">
        <f t="shared" si="248"/>
        <v>59.258427075000007</v>
      </c>
      <c r="BO96" s="68">
        <f t="shared" si="249"/>
        <v>0.93406693750000014</v>
      </c>
      <c r="BP96" s="76">
        <f t="shared" si="250"/>
        <v>0.18681338750000001</v>
      </c>
      <c r="BQ96" s="33">
        <v>255160</v>
      </c>
      <c r="BR96" s="8">
        <v>257100</v>
      </c>
      <c r="BS96" t="s">
        <v>129</v>
      </c>
    </row>
    <row r="97" spans="1:71" ht="45" x14ac:dyDescent="0.25">
      <c r="A97" s="52"/>
      <c r="B97" s="52">
        <v>60</v>
      </c>
      <c r="C97" s="53" t="s">
        <v>14</v>
      </c>
      <c r="D97" s="118">
        <v>2538</v>
      </c>
      <c r="E97" s="115" t="s">
        <v>204</v>
      </c>
      <c r="F97" s="40" t="s">
        <v>270</v>
      </c>
      <c r="G97" s="110">
        <v>3612</v>
      </c>
      <c r="H97" s="111">
        <v>474</v>
      </c>
      <c r="I97" s="107">
        <f t="shared" si="200"/>
        <v>4086</v>
      </c>
      <c r="J97" s="98">
        <f t="shared" si="197"/>
        <v>0.76439645625692132</v>
      </c>
      <c r="K97" s="99">
        <v>2761</v>
      </c>
      <c r="L97" s="94">
        <f t="shared" si="198"/>
        <v>0.23560354374307863</v>
      </c>
      <c r="M97" s="89">
        <f t="shared" si="199"/>
        <v>851</v>
      </c>
      <c r="N97" s="91">
        <f t="shared" si="201"/>
        <v>18.636900000000001</v>
      </c>
      <c r="O97" s="182">
        <f t="shared" si="202"/>
        <v>34.167650000000002</v>
      </c>
      <c r="P97" s="130">
        <f t="shared" si="203"/>
        <v>21.74305</v>
      </c>
      <c r="Q97" s="130">
        <f t="shared" si="204"/>
        <v>3.10615</v>
      </c>
      <c r="R97" s="64">
        <f t="shared" si="205"/>
        <v>0.62122999999999995</v>
      </c>
      <c r="S97" s="130">
        <f t="shared" si="206"/>
        <v>1.3325383499999999</v>
      </c>
      <c r="T97" s="130">
        <f t="shared" si="207"/>
        <v>1.8450531000000001</v>
      </c>
      <c r="U97" s="130">
        <f t="shared" si="208"/>
        <v>1.74255015</v>
      </c>
      <c r="V97" s="130">
        <f t="shared" si="209"/>
        <v>0.25625737500000001</v>
      </c>
      <c r="W97" s="130">
        <f t="shared" si="210"/>
        <v>5.1251474999999998E-2</v>
      </c>
      <c r="X97" s="130">
        <f t="shared" si="211"/>
        <v>1.94755605</v>
      </c>
      <c r="Y97" s="130">
        <f t="shared" si="212"/>
        <v>2.6650766999999997</v>
      </c>
      <c r="Z97" s="130">
        <f t="shared" si="213"/>
        <v>1.8450531000000001</v>
      </c>
      <c r="AA97" s="130">
        <f t="shared" si="214"/>
        <v>0</v>
      </c>
      <c r="AB97" s="130">
        <f t="shared" si="215"/>
        <v>0</v>
      </c>
      <c r="AC97" s="181">
        <f t="shared" si="216"/>
        <v>15.356805600000001</v>
      </c>
      <c r="AD97" s="181">
        <f t="shared" si="217"/>
        <v>29.6575202</v>
      </c>
      <c r="AE97" s="181">
        <f t="shared" si="218"/>
        <v>18.155446749999999</v>
      </c>
      <c r="AF97" s="181">
        <f t="shared" si="219"/>
        <v>2.8498926249999998</v>
      </c>
      <c r="AG97" s="181">
        <f t="shared" si="220"/>
        <v>0.5699785249999999</v>
      </c>
      <c r="AH97" s="85">
        <f t="shared" si="221"/>
        <v>70.846500000000006</v>
      </c>
      <c r="AI97" s="135">
        <f t="shared" si="222"/>
        <v>129.88525000000001</v>
      </c>
      <c r="AJ97" s="135">
        <f t="shared" si="223"/>
        <v>82.654250000000005</v>
      </c>
      <c r="AK97" s="135">
        <f t="shared" si="224"/>
        <v>11.80775</v>
      </c>
      <c r="AL97" s="65">
        <f t="shared" si="225"/>
        <v>2.3615499999999998</v>
      </c>
      <c r="AM97" s="66">
        <v>0.9</v>
      </c>
      <c r="AN97" s="66">
        <v>0.75</v>
      </c>
      <c r="AO97" s="66">
        <v>0.9</v>
      </c>
      <c r="AP97" s="66">
        <v>0.1</v>
      </c>
      <c r="AQ97" s="66">
        <v>0.1</v>
      </c>
      <c r="AR97" s="65">
        <f t="shared" si="226"/>
        <v>64.961134514999998</v>
      </c>
      <c r="AS97" s="65">
        <f t="shared" si="227"/>
        <v>98.797727325000011</v>
      </c>
      <c r="AT97" s="65">
        <f t="shared" si="228"/>
        <v>75.957120135000011</v>
      </c>
      <c r="AU97" s="65">
        <f t="shared" si="229"/>
        <v>1.2064007375000001</v>
      </c>
      <c r="AV97" s="65">
        <f t="shared" si="230"/>
        <v>0.24128014749999999</v>
      </c>
      <c r="AW97" s="65">
        <f t="shared" si="231"/>
        <v>7.2179038350000013</v>
      </c>
      <c r="AX97" s="65">
        <f t="shared" si="232"/>
        <v>32.932575775000004</v>
      </c>
      <c r="AY97" s="65">
        <f t="shared" si="233"/>
        <v>8.4396800149999933</v>
      </c>
      <c r="AZ97" s="65">
        <f t="shared" si="234"/>
        <v>10.857606637500002</v>
      </c>
      <c r="BA97" s="86">
        <f t="shared" si="235"/>
        <v>2.1715213274999998</v>
      </c>
      <c r="BB97" s="83">
        <f t="shared" si="236"/>
        <v>89.483400000000003</v>
      </c>
      <c r="BC97" s="67">
        <f t="shared" si="237"/>
        <v>164.05290000000002</v>
      </c>
      <c r="BD97" s="67">
        <f t="shared" si="238"/>
        <v>104.3973</v>
      </c>
      <c r="BE97" s="68">
        <f t="shared" si="239"/>
        <v>14.9139</v>
      </c>
      <c r="BF97" s="68">
        <f t="shared" si="240"/>
        <v>2.98278</v>
      </c>
      <c r="BG97" s="67">
        <f t="shared" si="241"/>
        <v>22.574709435000003</v>
      </c>
      <c r="BH97" s="67">
        <f t="shared" si="242"/>
        <v>62.590095975000004</v>
      </c>
      <c r="BI97" s="67">
        <f t="shared" si="243"/>
        <v>26.595126764999993</v>
      </c>
      <c r="BJ97" s="68">
        <f t="shared" si="244"/>
        <v>13.707499262500001</v>
      </c>
      <c r="BK97" s="68">
        <f t="shared" si="245"/>
        <v>2.7414998524999996</v>
      </c>
      <c r="BL97" s="67">
        <f t="shared" si="246"/>
        <v>66.908690565000001</v>
      </c>
      <c r="BM97" s="67">
        <f t="shared" si="247"/>
        <v>101.46280402500001</v>
      </c>
      <c r="BN97" s="67">
        <f t="shared" si="248"/>
        <v>77.802173235000012</v>
      </c>
      <c r="BO97" s="68">
        <f t="shared" si="249"/>
        <v>1.2064007375000001</v>
      </c>
      <c r="BP97" s="76">
        <f t="shared" si="250"/>
        <v>0.24128014749999999</v>
      </c>
      <c r="BQ97" s="33">
        <v>1614421</v>
      </c>
      <c r="BR97" s="8">
        <v>1186050</v>
      </c>
      <c r="BS97" t="s">
        <v>188</v>
      </c>
    </row>
    <row r="98" spans="1:71" x14ac:dyDescent="0.25">
      <c r="A98" s="52"/>
      <c r="B98" s="52">
        <v>70</v>
      </c>
      <c r="C98" s="53" t="s">
        <v>106</v>
      </c>
      <c r="D98" s="118">
        <v>2108</v>
      </c>
      <c r="E98" s="103" t="s">
        <v>9</v>
      </c>
      <c r="F98" s="36" t="s">
        <v>270</v>
      </c>
      <c r="G98" s="110">
        <v>2043</v>
      </c>
      <c r="H98" s="111">
        <v>100</v>
      </c>
      <c r="I98" s="107">
        <f t="shared" si="200"/>
        <v>2143</v>
      </c>
      <c r="J98" s="98">
        <f t="shared" si="197"/>
        <v>0.51150269211943222</v>
      </c>
      <c r="K98" s="99">
        <v>1045</v>
      </c>
      <c r="L98" s="94">
        <f t="shared" si="198"/>
        <v>0.48849730788056778</v>
      </c>
      <c r="M98" s="89">
        <f t="shared" si="199"/>
        <v>998</v>
      </c>
      <c r="N98" s="91">
        <f t="shared" si="201"/>
        <v>21.856200000000001</v>
      </c>
      <c r="O98" s="182">
        <f t="shared" si="202"/>
        <v>40.069699999999997</v>
      </c>
      <c r="P98" s="130">
        <f t="shared" si="203"/>
        <v>25.498899999999999</v>
      </c>
      <c r="Q98" s="130">
        <f t="shared" si="204"/>
        <v>3.6427</v>
      </c>
      <c r="R98" s="64">
        <f t="shared" si="205"/>
        <v>0.72853999999999997</v>
      </c>
      <c r="S98" s="130">
        <f t="shared" si="206"/>
        <v>1.5627183</v>
      </c>
      <c r="T98" s="130">
        <f t="shared" si="207"/>
        <v>2.1637638000000003</v>
      </c>
      <c r="U98" s="130">
        <f t="shared" si="208"/>
        <v>2.0435547000000001</v>
      </c>
      <c r="V98" s="130">
        <f t="shared" si="209"/>
        <v>0.30052275000000001</v>
      </c>
      <c r="W98" s="130">
        <f t="shared" si="210"/>
        <v>6.010455E-2</v>
      </c>
      <c r="X98" s="130">
        <f t="shared" si="211"/>
        <v>2.2839729000000002</v>
      </c>
      <c r="Y98" s="130">
        <f t="shared" si="212"/>
        <v>3.1254366</v>
      </c>
      <c r="Z98" s="130">
        <f t="shared" si="213"/>
        <v>2.1637638000000003</v>
      </c>
      <c r="AA98" s="130">
        <f t="shared" si="214"/>
        <v>0</v>
      </c>
      <c r="AB98" s="130">
        <f t="shared" si="215"/>
        <v>0</v>
      </c>
      <c r="AC98" s="181">
        <f t="shared" si="216"/>
        <v>18.009508799999999</v>
      </c>
      <c r="AD98" s="181">
        <f t="shared" si="217"/>
        <v>34.780499599999999</v>
      </c>
      <c r="AE98" s="181">
        <f t="shared" si="218"/>
        <v>21.291581499999996</v>
      </c>
      <c r="AF98" s="181">
        <f t="shared" si="219"/>
        <v>3.3421772500000002</v>
      </c>
      <c r="AG98" s="181">
        <f t="shared" si="220"/>
        <v>0.66843544999999993</v>
      </c>
      <c r="AH98" s="85">
        <f t="shared" si="221"/>
        <v>25.075500000000002</v>
      </c>
      <c r="AI98" s="135">
        <f t="shared" si="222"/>
        <v>45.97175</v>
      </c>
      <c r="AJ98" s="135">
        <f t="shared" si="223"/>
        <v>29.254750000000001</v>
      </c>
      <c r="AK98" s="135">
        <f t="shared" si="224"/>
        <v>4.1792499999999997</v>
      </c>
      <c r="AL98" s="65">
        <f t="shared" si="225"/>
        <v>0.83584999999999998</v>
      </c>
      <c r="AM98" s="66">
        <v>0.9</v>
      </c>
      <c r="AN98" s="66">
        <v>0.75</v>
      </c>
      <c r="AO98" s="66">
        <v>0.9</v>
      </c>
      <c r="AP98" s="66">
        <v>0.1</v>
      </c>
      <c r="AQ98" s="66">
        <v>0.1</v>
      </c>
      <c r="AR98" s="65">
        <f t="shared" si="226"/>
        <v>23.974396470000002</v>
      </c>
      <c r="AS98" s="65">
        <f t="shared" si="227"/>
        <v>36.101635349999995</v>
      </c>
      <c r="AT98" s="65">
        <f t="shared" si="228"/>
        <v>28.168474230000005</v>
      </c>
      <c r="AU98" s="65">
        <f t="shared" si="229"/>
        <v>0.44797727499999995</v>
      </c>
      <c r="AV98" s="65">
        <f t="shared" si="230"/>
        <v>8.9595455000000004E-2</v>
      </c>
      <c r="AW98" s="65">
        <f t="shared" si="231"/>
        <v>2.6638218299999998</v>
      </c>
      <c r="AX98" s="65">
        <f t="shared" si="232"/>
        <v>12.033878450000003</v>
      </c>
      <c r="AY98" s="65">
        <f t="shared" si="233"/>
        <v>3.1298304699999981</v>
      </c>
      <c r="AZ98" s="65">
        <f t="shared" si="234"/>
        <v>4.0317954749999991</v>
      </c>
      <c r="BA98" s="86">
        <f t="shared" si="235"/>
        <v>0.80635909500000003</v>
      </c>
      <c r="BB98" s="83">
        <f t="shared" si="236"/>
        <v>46.931700000000006</v>
      </c>
      <c r="BC98" s="67">
        <f t="shared" si="237"/>
        <v>86.041449999999998</v>
      </c>
      <c r="BD98" s="67">
        <f t="shared" si="238"/>
        <v>54.75365</v>
      </c>
      <c r="BE98" s="68">
        <f t="shared" si="239"/>
        <v>7.8219499999999993</v>
      </c>
      <c r="BF98" s="68">
        <f t="shared" si="240"/>
        <v>1.5643899999999999</v>
      </c>
      <c r="BG98" s="67">
        <f t="shared" si="241"/>
        <v>20.673330629999999</v>
      </c>
      <c r="BH98" s="67">
        <f t="shared" si="242"/>
        <v>46.814378050000002</v>
      </c>
      <c r="BI98" s="67">
        <f t="shared" si="243"/>
        <v>24.421411969999994</v>
      </c>
      <c r="BJ98" s="68">
        <f t="shared" si="244"/>
        <v>7.3739727249999998</v>
      </c>
      <c r="BK98" s="68">
        <f t="shared" si="245"/>
        <v>1.474794545</v>
      </c>
      <c r="BL98" s="67">
        <f t="shared" si="246"/>
        <v>26.258369370000004</v>
      </c>
      <c r="BM98" s="67">
        <f t="shared" si="247"/>
        <v>39.227071949999996</v>
      </c>
      <c r="BN98" s="67">
        <f t="shared" si="248"/>
        <v>30.332238030000006</v>
      </c>
      <c r="BO98" s="68">
        <f t="shared" si="249"/>
        <v>0.44797727499999995</v>
      </c>
      <c r="BP98" s="76">
        <f t="shared" si="250"/>
        <v>8.9595455000000004E-2</v>
      </c>
      <c r="BQ98" s="33">
        <v>668575</v>
      </c>
      <c r="BR98" s="8">
        <v>15250</v>
      </c>
      <c r="BS98" t="s">
        <v>129</v>
      </c>
    </row>
    <row r="99" spans="1:71" x14ac:dyDescent="0.25">
      <c r="A99" s="52"/>
      <c r="B99" s="52">
        <v>71</v>
      </c>
      <c r="C99" s="53" t="s">
        <v>107</v>
      </c>
      <c r="D99" s="118">
        <v>2094</v>
      </c>
      <c r="E99" s="103" t="s">
        <v>163</v>
      </c>
      <c r="F99" s="36" t="s">
        <v>270</v>
      </c>
      <c r="G99" s="110">
        <v>2162</v>
      </c>
      <c r="H99" s="111">
        <v>415</v>
      </c>
      <c r="I99" s="107">
        <f t="shared" si="200"/>
        <v>2577</v>
      </c>
      <c r="J99" s="98">
        <f t="shared" si="197"/>
        <v>0.58001850138760402</v>
      </c>
      <c r="K99" s="99">
        <v>1254</v>
      </c>
      <c r="L99" s="94">
        <f t="shared" si="198"/>
        <v>0.41998149861239592</v>
      </c>
      <c r="M99" s="89">
        <f t="shared" si="199"/>
        <v>908</v>
      </c>
      <c r="N99" s="91">
        <f t="shared" si="201"/>
        <v>19.885200000000001</v>
      </c>
      <c r="O99" s="182">
        <f t="shared" si="202"/>
        <v>36.456200000000003</v>
      </c>
      <c r="P99" s="130">
        <f t="shared" si="203"/>
        <v>23.199400000000001</v>
      </c>
      <c r="Q99" s="130">
        <f t="shared" si="204"/>
        <v>3.3142</v>
      </c>
      <c r="R99" s="64">
        <f t="shared" si="205"/>
        <v>0.66283999999999998</v>
      </c>
      <c r="S99" s="130">
        <f t="shared" si="206"/>
        <v>1.4217918000000001</v>
      </c>
      <c r="T99" s="130">
        <f t="shared" si="207"/>
        <v>1.9686348</v>
      </c>
      <c r="U99" s="130">
        <f t="shared" si="208"/>
        <v>1.8592662000000002</v>
      </c>
      <c r="V99" s="130">
        <f t="shared" si="209"/>
        <v>0.27342150000000004</v>
      </c>
      <c r="W99" s="130">
        <f t="shared" si="210"/>
        <v>5.4684299999999998E-2</v>
      </c>
      <c r="X99" s="130">
        <f t="shared" si="211"/>
        <v>2.0780034000000001</v>
      </c>
      <c r="Y99" s="130">
        <f t="shared" si="212"/>
        <v>2.8435836000000001</v>
      </c>
      <c r="Z99" s="130">
        <f t="shared" si="213"/>
        <v>1.9686348</v>
      </c>
      <c r="AA99" s="130">
        <f t="shared" si="214"/>
        <v>0</v>
      </c>
      <c r="AB99" s="130">
        <f t="shared" si="215"/>
        <v>0</v>
      </c>
      <c r="AC99" s="181">
        <f t="shared" si="216"/>
        <v>16.3854048</v>
      </c>
      <c r="AD99" s="181">
        <f t="shared" si="217"/>
        <v>31.643981600000007</v>
      </c>
      <c r="AE99" s="181">
        <f t="shared" si="218"/>
        <v>19.371499</v>
      </c>
      <c r="AF99" s="181">
        <f t="shared" si="219"/>
        <v>3.0407785000000001</v>
      </c>
      <c r="AG99" s="181">
        <f t="shared" si="220"/>
        <v>0.60815569999999997</v>
      </c>
      <c r="AH99" s="85">
        <f t="shared" si="221"/>
        <v>36.551099999999998</v>
      </c>
      <c r="AI99" s="135">
        <f t="shared" si="222"/>
        <v>67.010350000000003</v>
      </c>
      <c r="AJ99" s="135">
        <f t="shared" si="223"/>
        <v>42.642949999999999</v>
      </c>
      <c r="AK99" s="135">
        <f t="shared" si="224"/>
        <v>6.09185</v>
      </c>
      <c r="AL99" s="65">
        <f t="shared" si="225"/>
        <v>1.21837</v>
      </c>
      <c r="AM99" s="66">
        <v>0.9</v>
      </c>
      <c r="AN99" s="66">
        <v>0.75</v>
      </c>
      <c r="AO99" s="66">
        <v>0.9</v>
      </c>
      <c r="AP99" s="66">
        <v>0.1</v>
      </c>
      <c r="AQ99" s="66">
        <v>0.1</v>
      </c>
      <c r="AR99" s="65">
        <f t="shared" si="226"/>
        <v>34.175602619999999</v>
      </c>
      <c r="AS99" s="65">
        <f t="shared" si="227"/>
        <v>51.734238600000005</v>
      </c>
      <c r="AT99" s="65">
        <f t="shared" si="228"/>
        <v>40.051994579999999</v>
      </c>
      <c r="AU99" s="65">
        <f t="shared" si="229"/>
        <v>0.63652715000000004</v>
      </c>
      <c r="AV99" s="65">
        <f t="shared" si="230"/>
        <v>0.12730543</v>
      </c>
      <c r="AW99" s="65">
        <f t="shared" si="231"/>
        <v>3.7972891799999999</v>
      </c>
      <c r="AX99" s="65">
        <f t="shared" si="232"/>
        <v>17.244746200000002</v>
      </c>
      <c r="AY99" s="65">
        <f t="shared" si="233"/>
        <v>4.4502216200000007</v>
      </c>
      <c r="AZ99" s="65">
        <f t="shared" si="234"/>
        <v>5.7287443500000004</v>
      </c>
      <c r="BA99" s="86">
        <f t="shared" si="235"/>
        <v>1.1457488699999998</v>
      </c>
      <c r="BB99" s="83">
        <f t="shared" si="236"/>
        <v>56.436300000000003</v>
      </c>
      <c r="BC99" s="67">
        <f t="shared" si="237"/>
        <v>103.46655000000001</v>
      </c>
      <c r="BD99" s="67">
        <f t="shared" si="238"/>
        <v>65.842349999999996</v>
      </c>
      <c r="BE99" s="68">
        <f t="shared" si="239"/>
        <v>9.4060500000000005</v>
      </c>
      <c r="BF99" s="68">
        <f t="shared" si="240"/>
        <v>1.8812099999999998</v>
      </c>
      <c r="BG99" s="67">
        <f t="shared" si="241"/>
        <v>20.18269398</v>
      </c>
      <c r="BH99" s="67">
        <f t="shared" si="242"/>
        <v>48.888727800000012</v>
      </c>
      <c r="BI99" s="67">
        <f t="shared" si="243"/>
        <v>23.821720620000001</v>
      </c>
      <c r="BJ99" s="68">
        <f t="shared" si="244"/>
        <v>8.7695228500000013</v>
      </c>
      <c r="BK99" s="68">
        <f t="shared" si="245"/>
        <v>1.7539045699999998</v>
      </c>
      <c r="BL99" s="67">
        <f t="shared" si="246"/>
        <v>36.253606019999999</v>
      </c>
      <c r="BM99" s="67">
        <f t="shared" si="247"/>
        <v>54.577822200000007</v>
      </c>
      <c r="BN99" s="67">
        <f t="shared" si="248"/>
        <v>42.020629379999995</v>
      </c>
      <c r="BO99" s="68">
        <f t="shared" si="249"/>
        <v>0.63652715000000004</v>
      </c>
      <c r="BP99" s="76">
        <f t="shared" si="250"/>
        <v>0.12730543</v>
      </c>
      <c r="BQ99" s="33">
        <v>1868000</v>
      </c>
      <c r="BR99" s="8">
        <v>0</v>
      </c>
      <c r="BS99" t="s">
        <v>160</v>
      </c>
    </row>
    <row r="100" spans="1:71" x14ac:dyDescent="0.25">
      <c r="A100" s="52"/>
      <c r="B100" s="52">
        <v>73</v>
      </c>
      <c r="C100" s="53" t="s">
        <v>108</v>
      </c>
      <c r="D100" s="118">
        <v>2042</v>
      </c>
      <c r="E100" s="103" t="s">
        <v>164</v>
      </c>
      <c r="F100" s="36" t="s">
        <v>270</v>
      </c>
      <c r="G100" s="110">
        <v>2049</v>
      </c>
      <c r="H100" s="111">
        <v>10</v>
      </c>
      <c r="I100" s="107">
        <f t="shared" si="200"/>
        <v>2059</v>
      </c>
      <c r="J100" s="98">
        <f t="shared" si="197"/>
        <v>0.6842362127867252</v>
      </c>
      <c r="K100" s="99">
        <v>1402</v>
      </c>
      <c r="L100" s="94">
        <f t="shared" si="198"/>
        <v>0.31576378721327475</v>
      </c>
      <c r="M100" s="89">
        <f t="shared" si="199"/>
        <v>647</v>
      </c>
      <c r="N100" s="91">
        <f t="shared" si="201"/>
        <v>14.1693</v>
      </c>
      <c r="O100" s="182">
        <f t="shared" si="202"/>
        <v>25.977049999999998</v>
      </c>
      <c r="P100" s="130">
        <f t="shared" si="203"/>
        <v>16.530850000000001</v>
      </c>
      <c r="Q100" s="130">
        <f t="shared" si="204"/>
        <v>2.3615499999999998</v>
      </c>
      <c r="R100" s="64">
        <f t="shared" si="205"/>
        <v>0.47231000000000001</v>
      </c>
      <c r="S100" s="130">
        <f t="shared" si="206"/>
        <v>1.01310495</v>
      </c>
      <c r="T100" s="130">
        <f t="shared" si="207"/>
        <v>1.4027607000000002</v>
      </c>
      <c r="U100" s="130">
        <f t="shared" si="208"/>
        <v>1.32482955</v>
      </c>
      <c r="V100" s="130">
        <f t="shared" si="209"/>
        <v>0.19482787499999998</v>
      </c>
      <c r="W100" s="130">
        <f t="shared" si="210"/>
        <v>3.8965575000000002E-2</v>
      </c>
      <c r="X100" s="130">
        <f t="shared" si="211"/>
        <v>1.4806918500000001</v>
      </c>
      <c r="Y100" s="130">
        <f t="shared" si="212"/>
        <v>2.0262099</v>
      </c>
      <c r="Z100" s="130">
        <f t="shared" si="213"/>
        <v>1.4027607000000002</v>
      </c>
      <c r="AA100" s="130">
        <f t="shared" si="214"/>
        <v>0</v>
      </c>
      <c r="AB100" s="130">
        <f t="shared" si="215"/>
        <v>0</v>
      </c>
      <c r="AC100" s="181">
        <f t="shared" si="216"/>
        <v>11.6755032</v>
      </c>
      <c r="AD100" s="181">
        <f t="shared" si="217"/>
        <v>22.548079399999995</v>
      </c>
      <c r="AE100" s="181">
        <f t="shared" si="218"/>
        <v>13.80325975</v>
      </c>
      <c r="AF100" s="181">
        <f t="shared" si="219"/>
        <v>2.1667221249999997</v>
      </c>
      <c r="AG100" s="181">
        <f t="shared" si="220"/>
        <v>0.43334442500000003</v>
      </c>
      <c r="AH100" s="85">
        <f t="shared" si="221"/>
        <v>30.922799999999999</v>
      </c>
      <c r="AI100" s="135">
        <f t="shared" si="222"/>
        <v>56.691800000000001</v>
      </c>
      <c r="AJ100" s="135">
        <f t="shared" si="223"/>
        <v>36.076599999999999</v>
      </c>
      <c r="AK100" s="135">
        <f t="shared" si="224"/>
        <v>5.1538000000000004</v>
      </c>
      <c r="AL100" s="65">
        <f t="shared" si="225"/>
        <v>1.0307599999999999</v>
      </c>
      <c r="AM100" s="66">
        <v>0.9</v>
      </c>
      <c r="AN100" s="66">
        <v>0.75</v>
      </c>
      <c r="AO100" s="66">
        <v>0.9</v>
      </c>
      <c r="AP100" s="66">
        <v>0.1</v>
      </c>
      <c r="AQ100" s="66">
        <v>0.1</v>
      </c>
      <c r="AR100" s="65">
        <f t="shared" si="226"/>
        <v>28.742314454999999</v>
      </c>
      <c r="AS100" s="65">
        <f t="shared" si="227"/>
        <v>43.570920525000005</v>
      </c>
      <c r="AT100" s="65">
        <f t="shared" si="228"/>
        <v>33.661286595</v>
      </c>
      <c r="AU100" s="65">
        <f t="shared" si="229"/>
        <v>0.53486278750000005</v>
      </c>
      <c r="AV100" s="65">
        <f t="shared" si="230"/>
        <v>0.1069725575</v>
      </c>
      <c r="AW100" s="65">
        <f t="shared" si="231"/>
        <v>3.1935904949999987</v>
      </c>
      <c r="AX100" s="65">
        <f t="shared" si="232"/>
        <v>14.523640174999997</v>
      </c>
      <c r="AY100" s="65">
        <f t="shared" si="233"/>
        <v>3.740142954999996</v>
      </c>
      <c r="AZ100" s="65">
        <f t="shared" si="234"/>
        <v>4.8137650875000002</v>
      </c>
      <c r="BA100" s="86">
        <f t="shared" si="235"/>
        <v>0.96275301749999986</v>
      </c>
      <c r="BB100" s="83">
        <f t="shared" si="236"/>
        <v>45.092100000000002</v>
      </c>
      <c r="BC100" s="67">
        <f t="shared" si="237"/>
        <v>82.668849999999992</v>
      </c>
      <c r="BD100" s="67">
        <f t="shared" si="238"/>
        <v>52.60745</v>
      </c>
      <c r="BE100" s="68">
        <f t="shared" si="239"/>
        <v>7.5153499999999998</v>
      </c>
      <c r="BF100" s="68">
        <f t="shared" si="240"/>
        <v>1.5030699999999999</v>
      </c>
      <c r="BG100" s="67">
        <f t="shared" si="241"/>
        <v>14.869093694999998</v>
      </c>
      <c r="BH100" s="67">
        <f t="shared" si="242"/>
        <v>37.071719574999989</v>
      </c>
      <c r="BI100" s="67">
        <f t="shared" si="243"/>
        <v>17.543402704999998</v>
      </c>
      <c r="BJ100" s="68">
        <f t="shared" si="244"/>
        <v>6.9804872124999999</v>
      </c>
      <c r="BK100" s="68">
        <f t="shared" si="245"/>
        <v>1.3960974424999999</v>
      </c>
      <c r="BL100" s="67">
        <f t="shared" si="246"/>
        <v>30.223006304999998</v>
      </c>
      <c r="BM100" s="67">
        <f t="shared" si="247"/>
        <v>45.597130425000003</v>
      </c>
      <c r="BN100" s="67">
        <f t="shared" si="248"/>
        <v>35.064047295000002</v>
      </c>
      <c r="BO100" s="68">
        <f t="shared" si="249"/>
        <v>0.53486278750000005</v>
      </c>
      <c r="BP100" s="76">
        <f t="shared" si="250"/>
        <v>0.1069725575</v>
      </c>
      <c r="BQ100" s="33">
        <v>898800</v>
      </c>
      <c r="BR100" s="8">
        <v>244850</v>
      </c>
      <c r="BS100" t="s">
        <v>129</v>
      </c>
    </row>
    <row r="101" spans="1:71" x14ac:dyDescent="0.25">
      <c r="A101" s="52"/>
      <c r="B101" s="52">
        <v>78</v>
      </c>
      <c r="C101" s="53" t="s">
        <v>116</v>
      </c>
      <c r="D101" s="118">
        <v>1888</v>
      </c>
      <c r="E101" s="103" t="s">
        <v>208</v>
      </c>
      <c r="F101" s="36" t="s">
        <v>270</v>
      </c>
      <c r="G101" s="110">
        <v>1505</v>
      </c>
      <c r="H101" s="111">
        <v>0</v>
      </c>
      <c r="I101" s="107">
        <f t="shared" si="200"/>
        <v>1505</v>
      </c>
      <c r="J101" s="98">
        <f t="shared" si="197"/>
        <v>0.25116279069767444</v>
      </c>
      <c r="K101" s="99">
        <v>378</v>
      </c>
      <c r="L101" s="94">
        <f t="shared" si="198"/>
        <v>0.74883720930232556</v>
      </c>
      <c r="M101" s="89">
        <f t="shared" si="199"/>
        <v>1127</v>
      </c>
      <c r="N101" s="91">
        <f t="shared" si="201"/>
        <v>24.6813</v>
      </c>
      <c r="O101" s="182">
        <f t="shared" si="202"/>
        <v>45.249049999999997</v>
      </c>
      <c r="P101" s="130">
        <f t="shared" si="203"/>
        <v>28.79485</v>
      </c>
      <c r="Q101" s="130">
        <f t="shared" si="204"/>
        <v>4.11355</v>
      </c>
      <c r="R101" s="64">
        <f t="shared" si="205"/>
        <v>0.82271000000000005</v>
      </c>
      <c r="S101" s="130">
        <f t="shared" si="206"/>
        <v>1.7647129500000001</v>
      </c>
      <c r="T101" s="130">
        <f t="shared" si="207"/>
        <v>2.4434487000000003</v>
      </c>
      <c r="U101" s="130">
        <f t="shared" si="208"/>
        <v>2.30770155</v>
      </c>
      <c r="V101" s="130">
        <f t="shared" si="209"/>
        <v>0.33936787500000004</v>
      </c>
      <c r="W101" s="130">
        <f t="shared" si="210"/>
        <v>6.7873575000000005E-2</v>
      </c>
      <c r="X101" s="130">
        <f t="shared" si="211"/>
        <v>2.5791958500000001</v>
      </c>
      <c r="Y101" s="130">
        <f t="shared" si="212"/>
        <v>3.5294259000000001</v>
      </c>
      <c r="Z101" s="130">
        <f t="shared" si="213"/>
        <v>2.4434487000000003</v>
      </c>
      <c r="AA101" s="130">
        <f t="shared" si="214"/>
        <v>0</v>
      </c>
      <c r="AB101" s="130">
        <f t="shared" si="215"/>
        <v>0</v>
      </c>
      <c r="AC101" s="181">
        <f t="shared" si="216"/>
        <v>20.337391199999999</v>
      </c>
      <c r="AD101" s="181">
        <f t="shared" si="217"/>
        <v>39.2761754</v>
      </c>
      <c r="AE101" s="181">
        <f t="shared" si="218"/>
        <v>24.043699749999998</v>
      </c>
      <c r="AF101" s="181">
        <f t="shared" si="219"/>
        <v>3.7741821249999998</v>
      </c>
      <c r="AG101" s="181">
        <f t="shared" si="220"/>
        <v>0.75483642500000003</v>
      </c>
      <c r="AH101" s="85">
        <f t="shared" si="221"/>
        <v>8.2782</v>
      </c>
      <c r="AI101" s="135">
        <f t="shared" si="222"/>
        <v>15.1767</v>
      </c>
      <c r="AJ101" s="135">
        <f t="shared" si="223"/>
        <v>9.6578999999999997</v>
      </c>
      <c r="AK101" s="135">
        <f t="shared" si="224"/>
        <v>1.3796999999999999</v>
      </c>
      <c r="AL101" s="65">
        <f t="shared" si="225"/>
        <v>0.27594000000000002</v>
      </c>
      <c r="AM101" s="66">
        <v>0.9</v>
      </c>
      <c r="AN101" s="66">
        <v>0.75</v>
      </c>
      <c r="AO101" s="66">
        <v>0.9</v>
      </c>
      <c r="AP101" s="66">
        <v>0.1</v>
      </c>
      <c r="AQ101" s="66">
        <v>0.1</v>
      </c>
      <c r="AR101" s="65">
        <f t="shared" si="226"/>
        <v>9.038621655</v>
      </c>
      <c r="AS101" s="65">
        <f t="shared" si="227"/>
        <v>13.215111525000001</v>
      </c>
      <c r="AT101" s="65">
        <f t="shared" si="228"/>
        <v>10.769041394999999</v>
      </c>
      <c r="AU101" s="65">
        <f t="shared" si="229"/>
        <v>0.17190678749999999</v>
      </c>
      <c r="AV101" s="65">
        <f t="shared" si="230"/>
        <v>3.4381357500000008E-2</v>
      </c>
      <c r="AW101" s="65">
        <f t="shared" si="231"/>
        <v>1.0042912949999998</v>
      </c>
      <c r="AX101" s="65">
        <f t="shared" si="232"/>
        <v>4.4050371750000004</v>
      </c>
      <c r="AY101" s="65">
        <f t="shared" si="233"/>
        <v>1.1965601550000002</v>
      </c>
      <c r="AZ101" s="65">
        <f t="shared" si="234"/>
        <v>1.5471610874999999</v>
      </c>
      <c r="BA101" s="86">
        <f t="shared" si="235"/>
        <v>0.30943221750000005</v>
      </c>
      <c r="BB101" s="83">
        <f t="shared" si="236"/>
        <v>32.959499999999998</v>
      </c>
      <c r="BC101" s="67">
        <f t="shared" si="237"/>
        <v>60.425749999999994</v>
      </c>
      <c r="BD101" s="67">
        <f t="shared" si="238"/>
        <v>38.452750000000002</v>
      </c>
      <c r="BE101" s="68">
        <f t="shared" si="239"/>
        <v>5.4932499999999997</v>
      </c>
      <c r="BF101" s="68">
        <f t="shared" si="240"/>
        <v>1.0986500000000001</v>
      </c>
      <c r="BG101" s="67">
        <f t="shared" si="241"/>
        <v>21.341682495000001</v>
      </c>
      <c r="BH101" s="67">
        <f t="shared" si="242"/>
        <v>43.681212575000004</v>
      </c>
      <c r="BI101" s="67">
        <f t="shared" si="243"/>
        <v>25.240259904999998</v>
      </c>
      <c r="BJ101" s="68">
        <f t="shared" si="244"/>
        <v>5.3213432124999995</v>
      </c>
      <c r="BK101" s="68">
        <f t="shared" si="245"/>
        <v>1.0642686425000001</v>
      </c>
      <c r="BL101" s="67">
        <f t="shared" si="246"/>
        <v>11.617817505</v>
      </c>
      <c r="BM101" s="67">
        <f t="shared" si="247"/>
        <v>16.744537425000001</v>
      </c>
      <c r="BN101" s="67">
        <f t="shared" si="248"/>
        <v>13.212490095</v>
      </c>
      <c r="BO101" s="68">
        <f t="shared" si="249"/>
        <v>0.17190678749999999</v>
      </c>
      <c r="BP101" s="76">
        <f t="shared" si="250"/>
        <v>3.4381357500000008E-2</v>
      </c>
      <c r="BQ101" s="33">
        <v>1335300</v>
      </c>
      <c r="BR101" s="8">
        <v>155600</v>
      </c>
      <c r="BS101" t="s">
        <v>129</v>
      </c>
    </row>
    <row r="102" spans="1:71" ht="90" x14ac:dyDescent="0.25">
      <c r="A102" s="52"/>
      <c r="B102" s="52">
        <v>79</v>
      </c>
      <c r="C102" s="53" t="s">
        <v>117</v>
      </c>
      <c r="D102" s="118">
        <v>1730</v>
      </c>
      <c r="E102" s="115" t="s">
        <v>209</v>
      </c>
      <c r="F102" s="40" t="s">
        <v>270</v>
      </c>
      <c r="G102" s="110">
        <v>1868</v>
      </c>
      <c r="H102" s="111">
        <v>200</v>
      </c>
      <c r="I102" s="107">
        <f t="shared" si="200"/>
        <v>2068</v>
      </c>
      <c r="J102" s="98">
        <f t="shared" si="197"/>
        <v>0.51980728051391867</v>
      </c>
      <c r="K102" s="53">
        <v>971</v>
      </c>
      <c r="L102" s="94">
        <f t="shared" si="198"/>
        <v>0.48019271948608139</v>
      </c>
      <c r="M102" s="89">
        <f t="shared" si="199"/>
        <v>897</v>
      </c>
      <c r="N102" s="91">
        <f t="shared" si="201"/>
        <v>19.644300000000001</v>
      </c>
      <c r="O102" s="182">
        <f t="shared" si="202"/>
        <v>36.01455</v>
      </c>
      <c r="P102" s="130">
        <f t="shared" si="203"/>
        <v>22.91835</v>
      </c>
      <c r="Q102" s="130">
        <f t="shared" si="204"/>
        <v>3.2740499999999999</v>
      </c>
      <c r="R102" s="64">
        <f t="shared" si="205"/>
        <v>0.65481</v>
      </c>
      <c r="S102" s="130">
        <f t="shared" si="206"/>
        <v>1.4045674500000001</v>
      </c>
      <c r="T102" s="130">
        <f t="shared" si="207"/>
        <v>1.9447857000000002</v>
      </c>
      <c r="U102" s="130">
        <f t="shared" si="208"/>
        <v>1.83674205</v>
      </c>
      <c r="V102" s="130">
        <f t="shared" si="209"/>
        <v>0.27010912500000001</v>
      </c>
      <c r="W102" s="130">
        <f t="shared" si="210"/>
        <v>5.4021825000000002E-2</v>
      </c>
      <c r="X102" s="130">
        <f t="shared" si="211"/>
        <v>2.0528293500000001</v>
      </c>
      <c r="Y102" s="130">
        <f t="shared" si="212"/>
        <v>2.8091349000000001</v>
      </c>
      <c r="Z102" s="130">
        <f t="shared" si="213"/>
        <v>1.9447857000000002</v>
      </c>
      <c r="AA102" s="130">
        <f t="shared" si="214"/>
        <v>0</v>
      </c>
      <c r="AB102" s="130">
        <f t="shared" si="215"/>
        <v>0</v>
      </c>
      <c r="AC102" s="181">
        <f t="shared" si="216"/>
        <v>16.1869032</v>
      </c>
      <c r="AD102" s="181">
        <f t="shared" si="217"/>
        <v>31.260629400000003</v>
      </c>
      <c r="AE102" s="181">
        <f t="shared" si="218"/>
        <v>19.136822249999998</v>
      </c>
      <c r="AF102" s="181">
        <f t="shared" si="219"/>
        <v>3.0039408750000001</v>
      </c>
      <c r="AG102" s="181">
        <f t="shared" si="220"/>
        <v>0.60078817500000004</v>
      </c>
      <c r="AH102" s="85">
        <f t="shared" si="221"/>
        <v>25.6449</v>
      </c>
      <c r="AI102" s="135">
        <f t="shared" si="222"/>
        <v>47.015650000000001</v>
      </c>
      <c r="AJ102" s="135">
        <f t="shared" si="223"/>
        <v>29.919049999999999</v>
      </c>
      <c r="AK102" s="135">
        <f t="shared" si="224"/>
        <v>4.2741499999999997</v>
      </c>
      <c r="AL102" s="65">
        <f t="shared" si="225"/>
        <v>0.85482999999999998</v>
      </c>
      <c r="AM102" s="66">
        <v>0.9</v>
      </c>
      <c r="AN102" s="66">
        <v>0.75</v>
      </c>
      <c r="AO102" s="66">
        <v>0.9</v>
      </c>
      <c r="AP102" s="66">
        <v>0.1</v>
      </c>
      <c r="AQ102" s="66">
        <v>0.1</v>
      </c>
      <c r="AR102" s="65">
        <f t="shared" si="226"/>
        <v>24.344520705000001</v>
      </c>
      <c r="AS102" s="65">
        <f t="shared" si="227"/>
        <v>36.720326774999997</v>
      </c>
      <c r="AT102" s="65">
        <f t="shared" si="228"/>
        <v>28.580212845000002</v>
      </c>
      <c r="AU102" s="65">
        <f t="shared" si="229"/>
        <v>0.45442591250000003</v>
      </c>
      <c r="AV102" s="65">
        <f t="shared" si="230"/>
        <v>9.0885182499999995E-2</v>
      </c>
      <c r="AW102" s="65">
        <f t="shared" si="231"/>
        <v>2.7049467450000009</v>
      </c>
      <c r="AX102" s="65">
        <f t="shared" si="232"/>
        <v>12.240108925000001</v>
      </c>
      <c r="AY102" s="65">
        <f t="shared" si="233"/>
        <v>3.1755792049999982</v>
      </c>
      <c r="AZ102" s="65">
        <f t="shared" si="234"/>
        <v>4.0898332125000003</v>
      </c>
      <c r="BA102" s="86">
        <f t="shared" si="235"/>
        <v>0.81796664249999995</v>
      </c>
      <c r="BB102" s="83">
        <f t="shared" si="236"/>
        <v>45.289200000000001</v>
      </c>
      <c r="BC102" s="67">
        <f t="shared" si="237"/>
        <v>83.030200000000008</v>
      </c>
      <c r="BD102" s="67">
        <f t="shared" si="238"/>
        <v>52.837400000000002</v>
      </c>
      <c r="BE102" s="68">
        <f t="shared" si="239"/>
        <v>7.5481999999999996</v>
      </c>
      <c r="BF102" s="68">
        <f t="shared" si="240"/>
        <v>1.5096400000000001</v>
      </c>
      <c r="BG102" s="67">
        <f t="shared" si="241"/>
        <v>18.891849945000001</v>
      </c>
      <c r="BH102" s="67">
        <f t="shared" si="242"/>
        <v>43.500738325</v>
      </c>
      <c r="BI102" s="67">
        <f t="shared" si="243"/>
        <v>22.312401454999996</v>
      </c>
      <c r="BJ102" s="68">
        <f t="shared" si="244"/>
        <v>7.0937740874999999</v>
      </c>
      <c r="BK102" s="68">
        <f t="shared" si="245"/>
        <v>1.4187548175</v>
      </c>
      <c r="BL102" s="67">
        <f t="shared" si="246"/>
        <v>26.397350055</v>
      </c>
      <c r="BM102" s="67">
        <f t="shared" si="247"/>
        <v>39.529461674999993</v>
      </c>
      <c r="BN102" s="67">
        <f t="shared" si="248"/>
        <v>30.524998545000003</v>
      </c>
      <c r="BO102" s="68">
        <f t="shared" si="249"/>
        <v>0.45442591250000003</v>
      </c>
      <c r="BP102" s="76">
        <f t="shared" si="250"/>
        <v>9.0885182499999995E-2</v>
      </c>
      <c r="BQ102" s="33">
        <v>1748218</v>
      </c>
      <c r="BR102" s="8">
        <v>132400</v>
      </c>
      <c r="BS102" t="s">
        <v>210</v>
      </c>
    </row>
    <row r="103" spans="1:71" ht="15.75" thickBot="1" x14ac:dyDescent="0.3">
      <c r="A103" s="52"/>
      <c r="B103" s="57">
        <v>81</v>
      </c>
      <c r="C103" s="61" t="s">
        <v>119</v>
      </c>
      <c r="D103" s="120">
        <v>1679</v>
      </c>
      <c r="E103" s="105" t="s">
        <v>211</v>
      </c>
      <c r="F103" s="58" t="s">
        <v>270</v>
      </c>
      <c r="G103" s="180">
        <v>2004</v>
      </c>
      <c r="H103" s="113">
        <v>765</v>
      </c>
      <c r="I103" s="108">
        <f t="shared" si="200"/>
        <v>2769</v>
      </c>
      <c r="J103" s="102">
        <f t="shared" si="197"/>
        <v>0.90319361277445109</v>
      </c>
      <c r="K103" s="176">
        <v>1810</v>
      </c>
      <c r="L103" s="95">
        <f t="shared" si="198"/>
        <v>9.6806387225548907E-2</v>
      </c>
      <c r="M103" s="90">
        <f t="shared" si="199"/>
        <v>194</v>
      </c>
      <c r="N103" s="92">
        <f t="shared" si="201"/>
        <v>4.2485999999999997</v>
      </c>
      <c r="O103" s="317">
        <f t="shared" si="202"/>
        <v>7.7891000000000004</v>
      </c>
      <c r="P103" s="318">
        <f t="shared" si="203"/>
        <v>4.9566999999999997</v>
      </c>
      <c r="Q103" s="318">
        <f t="shared" si="204"/>
        <v>0.70809999999999995</v>
      </c>
      <c r="R103" s="77">
        <f t="shared" si="205"/>
        <v>0.14162</v>
      </c>
      <c r="S103" s="318">
        <f t="shared" si="206"/>
        <v>0.30377490000000001</v>
      </c>
      <c r="T103" s="318">
        <f t="shared" si="207"/>
        <v>0.42061140000000002</v>
      </c>
      <c r="U103" s="318">
        <f t="shared" si="208"/>
        <v>0.39724410000000004</v>
      </c>
      <c r="V103" s="318">
        <f t="shared" si="209"/>
        <v>5.8418249999999998E-2</v>
      </c>
      <c r="W103" s="318">
        <f t="shared" si="210"/>
        <v>1.168365E-2</v>
      </c>
      <c r="X103" s="318">
        <f t="shared" si="211"/>
        <v>0.44397870000000006</v>
      </c>
      <c r="Y103" s="318">
        <f t="shared" si="212"/>
        <v>0.60754980000000003</v>
      </c>
      <c r="Z103" s="318">
        <f t="shared" si="213"/>
        <v>0.42061140000000002</v>
      </c>
      <c r="AA103" s="318">
        <f t="shared" si="214"/>
        <v>0</v>
      </c>
      <c r="AB103" s="318">
        <f t="shared" si="215"/>
        <v>0</v>
      </c>
      <c r="AC103" s="320">
        <f t="shared" si="216"/>
        <v>3.5008463999999995</v>
      </c>
      <c r="AD103" s="320">
        <f t="shared" si="217"/>
        <v>6.7609387999999999</v>
      </c>
      <c r="AE103" s="320">
        <f t="shared" si="218"/>
        <v>4.1388444999999994</v>
      </c>
      <c r="AF103" s="320">
        <f t="shared" si="219"/>
        <v>0.64968174999999995</v>
      </c>
      <c r="AG103" s="320">
        <f t="shared" si="220"/>
        <v>0.12993635000000001</v>
      </c>
      <c r="AH103" s="87">
        <f t="shared" si="221"/>
        <v>56.392499999999998</v>
      </c>
      <c r="AI103" s="323">
        <f t="shared" si="222"/>
        <v>103.38625</v>
      </c>
      <c r="AJ103" s="323">
        <f t="shared" si="223"/>
        <v>65.791250000000005</v>
      </c>
      <c r="AK103" s="323">
        <f t="shared" si="224"/>
        <v>9.3987499999999997</v>
      </c>
      <c r="AL103" s="78">
        <f t="shared" si="225"/>
        <v>1.87975</v>
      </c>
      <c r="AM103" s="79">
        <v>0.9</v>
      </c>
      <c r="AN103" s="79">
        <v>0.75</v>
      </c>
      <c r="AO103" s="79">
        <v>0.9</v>
      </c>
      <c r="AP103" s="79">
        <v>0.1</v>
      </c>
      <c r="AQ103" s="79">
        <v>0.1</v>
      </c>
      <c r="AR103" s="78">
        <f t="shared" si="226"/>
        <v>51.026647410000002</v>
      </c>
      <c r="AS103" s="78">
        <f t="shared" si="227"/>
        <v>77.855146050000002</v>
      </c>
      <c r="AT103" s="78">
        <f t="shared" si="228"/>
        <v>59.569644690000004</v>
      </c>
      <c r="AU103" s="78">
        <f t="shared" si="229"/>
        <v>0.94571682500000009</v>
      </c>
      <c r="AV103" s="78">
        <f t="shared" si="230"/>
        <v>0.18914336500000001</v>
      </c>
      <c r="AW103" s="78">
        <f t="shared" si="231"/>
        <v>5.6696274899999963</v>
      </c>
      <c r="AX103" s="78">
        <f t="shared" si="232"/>
        <v>25.951715350000001</v>
      </c>
      <c r="AY103" s="78">
        <f t="shared" si="233"/>
        <v>6.6188494099999957</v>
      </c>
      <c r="AZ103" s="78">
        <f t="shared" si="234"/>
        <v>8.5114514250000006</v>
      </c>
      <c r="BA103" s="88">
        <f t="shared" si="235"/>
        <v>1.7022902849999999</v>
      </c>
      <c r="BB103" s="84">
        <f t="shared" si="236"/>
        <v>60.641099999999994</v>
      </c>
      <c r="BC103" s="80">
        <f t="shared" si="237"/>
        <v>111.17535000000001</v>
      </c>
      <c r="BD103" s="80">
        <f t="shared" si="238"/>
        <v>70.747950000000003</v>
      </c>
      <c r="BE103" s="81">
        <f t="shared" si="239"/>
        <v>10.10685</v>
      </c>
      <c r="BF103" s="81">
        <f t="shared" si="240"/>
        <v>2.0213700000000001</v>
      </c>
      <c r="BG103" s="80">
        <f t="shared" si="241"/>
        <v>9.1704738899999967</v>
      </c>
      <c r="BH103" s="80">
        <f t="shared" si="242"/>
        <v>32.712654149999999</v>
      </c>
      <c r="BI103" s="80">
        <f t="shared" si="243"/>
        <v>10.757693909999995</v>
      </c>
      <c r="BJ103" s="81">
        <f t="shared" si="244"/>
        <v>9.1611331749999998</v>
      </c>
      <c r="BK103" s="81">
        <f t="shared" si="245"/>
        <v>1.8322266349999998</v>
      </c>
      <c r="BL103" s="80">
        <f t="shared" si="246"/>
        <v>51.470626110000005</v>
      </c>
      <c r="BM103" s="80">
        <f t="shared" si="247"/>
        <v>78.462695850000003</v>
      </c>
      <c r="BN103" s="80">
        <f t="shared" si="248"/>
        <v>59.990256090000003</v>
      </c>
      <c r="BO103" s="81">
        <f t="shared" si="249"/>
        <v>0.94571682500000009</v>
      </c>
      <c r="BP103" s="82">
        <f t="shared" si="250"/>
        <v>0.18914336500000001</v>
      </c>
      <c r="BQ103" s="34">
        <v>224655</v>
      </c>
      <c r="BR103" s="9">
        <v>133755</v>
      </c>
      <c r="BS103" t="s">
        <v>129</v>
      </c>
    </row>
    <row r="104" spans="1:71" s="350" customFormat="1" ht="16.5" thickBot="1" x14ac:dyDescent="0.3">
      <c r="A104" s="347"/>
      <c r="B104" s="455" t="s">
        <v>360</v>
      </c>
      <c r="C104" s="456"/>
      <c r="D104" s="456"/>
      <c r="E104" s="457"/>
      <c r="F104" s="347"/>
      <c r="G104" s="309">
        <f>SUM(G88:G103)</f>
        <v>89845</v>
      </c>
      <c r="H104" s="309">
        <f t="shared" ref="H104:O104" si="336">SUM(H88:H103)</f>
        <v>15013</v>
      </c>
      <c r="I104" s="309">
        <f t="shared" si="336"/>
        <v>104858</v>
      </c>
      <c r="J104" s="332">
        <f>K104/G104</f>
        <v>0.92877733875006951</v>
      </c>
      <c r="K104" s="309">
        <f t="shared" si="336"/>
        <v>83446</v>
      </c>
      <c r="L104" s="333">
        <f>M104/G104</f>
        <v>7.122266124993043E-2</v>
      </c>
      <c r="M104" s="309">
        <f t="shared" si="336"/>
        <v>6399</v>
      </c>
      <c r="N104" s="316">
        <f t="shared" si="336"/>
        <v>140.13810000000001</v>
      </c>
      <c r="O104" s="316">
        <f t="shared" si="336"/>
        <v>256.91985</v>
      </c>
      <c r="P104" s="316">
        <f t="shared" ref="P104" si="337">SUM(P88:P103)</f>
        <v>163.49445000000003</v>
      </c>
      <c r="Q104" s="316">
        <f t="shared" ref="Q104" si="338">SUM(Q88:Q103)</f>
        <v>23.356349999999999</v>
      </c>
      <c r="R104" s="316">
        <f t="shared" ref="R104" si="339">SUM(R88:R103)</f>
        <v>4.6712699999999998</v>
      </c>
      <c r="S104" s="316">
        <f t="shared" ref="S104" si="340">SUM(S88:S103)</f>
        <v>10.019874150000001</v>
      </c>
      <c r="T104" s="316">
        <f t="shared" ref="T104" si="341">SUM(T88:T103)</f>
        <v>13.873671900000003</v>
      </c>
      <c r="U104" s="316">
        <f t="shared" ref="U104" si="342">SUM(U88:U103)</f>
        <v>13.10291235</v>
      </c>
      <c r="V104" s="316">
        <f t="shared" ref="V104:W104" si="343">SUM(V88:V103)</f>
        <v>1.926898875</v>
      </c>
      <c r="W104" s="316">
        <f t="shared" si="343"/>
        <v>0.38537977500000004</v>
      </c>
      <c r="X104" s="316">
        <f t="shared" ref="X104" si="344">SUM(X88:X103)</f>
        <v>14.644431449999999</v>
      </c>
      <c r="Y104" s="316">
        <f t="shared" ref="Y104" si="345">SUM(Y88:Y103)</f>
        <v>20.039748300000003</v>
      </c>
      <c r="Z104" s="316">
        <f t="shared" ref="Z104" si="346">SUM(Z88:Z103)</f>
        <v>13.873671900000003</v>
      </c>
      <c r="AA104" s="316">
        <f t="shared" ref="AA104" si="347">SUM(AA88:AA103)</f>
        <v>0</v>
      </c>
      <c r="AB104" s="316">
        <f t="shared" ref="AB104" si="348">SUM(AB88:AB103)</f>
        <v>0</v>
      </c>
      <c r="AC104" s="316">
        <f t="shared" ref="AC104" si="349">SUM(AC88:AC103)</f>
        <v>115.4737944</v>
      </c>
      <c r="AD104" s="316">
        <f t="shared" ref="AD104:AE104" si="350">SUM(AD88:AD103)</f>
        <v>223.00642979999998</v>
      </c>
      <c r="AE104" s="316">
        <f t="shared" si="350"/>
        <v>136.51786575</v>
      </c>
      <c r="AF104" s="316">
        <f t="shared" ref="AF104" si="351">SUM(AF88:AF103)</f>
        <v>21.429451125</v>
      </c>
      <c r="AG104" s="316">
        <f t="shared" ref="AG104" si="352">SUM(AG88:AG103)</f>
        <v>4.2858902250000002</v>
      </c>
      <c r="AH104" s="322">
        <f t="shared" ref="AH104" si="353">SUM(AH88:AH103)</f>
        <v>2156.2521000000002</v>
      </c>
      <c r="AI104" s="322">
        <f t="shared" ref="AI104" si="354">SUM(AI88:AI103)</f>
        <v>3953.1288500000001</v>
      </c>
      <c r="AJ104" s="322">
        <f t="shared" ref="AJ104" si="355">SUM(AJ88:AJ103)</f>
        <v>2515.62745</v>
      </c>
      <c r="AK104" s="322">
        <f t="shared" ref="AK104" si="356">SUM(AK88:AK103)</f>
        <v>359.37535000000008</v>
      </c>
      <c r="AL104" s="322">
        <f t="shared" ref="AL104" si="357">SUM(AL88:AL103)</f>
        <v>71.875070000000008</v>
      </c>
      <c r="AM104" s="322"/>
      <c r="AN104" s="322"/>
      <c r="AO104" s="322"/>
      <c r="AP104" s="322"/>
      <c r="AQ104" s="322"/>
      <c r="AR104" s="322">
        <f t="shared" ref="AR104" si="358">SUM(AR88:AR103)</f>
        <v>1949.6447767349998</v>
      </c>
      <c r="AS104" s="322">
        <f t="shared" ref="AS104" si="359">SUM(AS88:AS103)</f>
        <v>2975.2518914249999</v>
      </c>
      <c r="AT104" s="322">
        <f t="shared" ref="AT104:AU104" si="360">SUM(AT88:AT103)</f>
        <v>2275.8573261150004</v>
      </c>
      <c r="AU104" s="322">
        <f t="shared" si="360"/>
        <v>206.11153883750001</v>
      </c>
      <c r="AV104" s="322">
        <f t="shared" ref="AV104" si="361">SUM(AV88:AV103)</f>
        <v>41.222307767500006</v>
      </c>
      <c r="AW104" s="322">
        <f t="shared" ref="AW104" si="362">SUM(AW88:AW103)</f>
        <v>216.62719741500001</v>
      </c>
      <c r="AX104" s="322">
        <f t="shared" ref="AX104" si="363">SUM(AX88:AX103)</f>
        <v>991.75063047499998</v>
      </c>
      <c r="AY104" s="322">
        <f t="shared" ref="AY104" si="364">SUM(AY88:AY103)</f>
        <v>252.87303623499989</v>
      </c>
      <c r="AZ104" s="322">
        <f t="shared" ref="AZ104" si="365">SUM(AZ88:AZ103)</f>
        <v>155.19071003749997</v>
      </c>
      <c r="BA104" s="322">
        <f t="shared" ref="BA104" si="366">SUM(BA88:BA103)</f>
        <v>31.038142007499992</v>
      </c>
      <c r="BB104" s="328">
        <f t="shared" ref="BB104:BC104" si="367">SUM(BB88:BB103)</f>
        <v>2296.3901999999994</v>
      </c>
      <c r="BC104" s="328">
        <f t="shared" si="367"/>
        <v>4210.0487000000012</v>
      </c>
      <c r="BD104" s="328">
        <f t="shared" ref="BD104" si="368">SUM(BD88:BD103)</f>
        <v>2679.1219000000001</v>
      </c>
      <c r="BE104" s="328">
        <f t="shared" ref="BE104" si="369">SUM(BE88:BE103)</f>
        <v>382.73170000000005</v>
      </c>
      <c r="BF104" s="328">
        <f t="shared" ref="BF104" si="370">SUM(BF88:BF103)</f>
        <v>76.546340000000015</v>
      </c>
      <c r="BG104" s="328">
        <f t="shared" ref="BG104" si="371">SUM(BG88:BG103)</f>
        <v>332.10099181499999</v>
      </c>
      <c r="BH104" s="328">
        <f t="shared" ref="BH104" si="372">SUM(BH88:BH103)</f>
        <v>1214.7570602749997</v>
      </c>
      <c r="BI104" s="328">
        <f t="shared" ref="BI104" si="373">SUM(BI88:BI103)</f>
        <v>389.39090198499991</v>
      </c>
      <c r="BJ104" s="328">
        <f t="shared" ref="BJ104:BK104" si="374">SUM(BJ88:BJ103)</f>
        <v>176.62016116250001</v>
      </c>
      <c r="BK104" s="328">
        <f t="shared" si="374"/>
        <v>35.324032232499995</v>
      </c>
      <c r="BL104" s="328">
        <f t="shared" ref="BL104" si="375">SUM(BL88:BL103)</f>
        <v>1964.2892081850002</v>
      </c>
      <c r="BM104" s="328">
        <f t="shared" ref="BM104" si="376">SUM(BM88:BM103)</f>
        <v>2995.2916397250006</v>
      </c>
      <c r="BN104" s="328">
        <f t="shared" ref="BN104" si="377">SUM(BN88:BN103)</f>
        <v>2289.7309980150003</v>
      </c>
      <c r="BO104" s="328">
        <f t="shared" ref="BO104" si="378">SUM(BO88:BO103)</f>
        <v>206.11153883750001</v>
      </c>
      <c r="BP104" s="328">
        <f t="shared" ref="BP104" si="379">SUM(BP88:BP103)</f>
        <v>41.222307767500006</v>
      </c>
      <c r="BQ104" s="328">
        <f t="shared" ref="BQ104" si="380">SUM(BQ88:BQ103)</f>
        <v>9465773</v>
      </c>
      <c r="BR104" s="328">
        <f t="shared" ref="BR104" si="381">SUM(BR88:BR103)</f>
        <v>3307203</v>
      </c>
    </row>
    <row r="105" spans="1:71" s="358" customFormat="1" ht="17.25" x14ac:dyDescent="0.3">
      <c r="B105" s="458" t="s">
        <v>361</v>
      </c>
      <c r="C105" s="458"/>
      <c r="D105" s="458"/>
      <c r="E105" s="458"/>
      <c r="G105" s="359">
        <f>G42+G61+G76+G86+G104</f>
        <v>1499697</v>
      </c>
      <c r="H105" s="359">
        <f t="shared" ref="H105:M105" si="382">H42+H61+H76+H86+H104</f>
        <v>314909</v>
      </c>
      <c r="I105" s="359">
        <f t="shared" si="382"/>
        <v>1814606</v>
      </c>
      <c r="J105" s="360">
        <f>K105/G105</f>
        <v>0.94587039915396243</v>
      </c>
      <c r="K105" s="359">
        <f t="shared" si="382"/>
        <v>1418519</v>
      </c>
      <c r="L105" s="409">
        <f>M105/G105</f>
        <v>5.4129600846037566E-2</v>
      </c>
      <c r="M105" s="359">
        <f t="shared" si="382"/>
        <v>81178</v>
      </c>
      <c r="N105" s="359">
        <f t="shared" ref="N105" si="383">N42+N61+N76+N86+N104</f>
        <v>1777.7982000000002</v>
      </c>
      <c r="O105" s="359">
        <f t="shared" ref="O105" si="384">O42+O61+O76+O86+O104</f>
        <v>3259.2966999999999</v>
      </c>
      <c r="P105" s="359">
        <f t="shared" ref="P105" si="385">P42+P61+P76+P86+P104</f>
        <v>2074.0978999999998</v>
      </c>
      <c r="Q105" s="359">
        <f t="shared" ref="Q105" si="386">Q42+Q61+Q76+Q86+Q104</f>
        <v>296.29970000000003</v>
      </c>
      <c r="R105" s="359">
        <f t="shared" ref="R105" si="387">R42+R61+R76+R86+R104</f>
        <v>59.25994</v>
      </c>
      <c r="S105" s="359">
        <f t="shared" ref="S105" si="388">S42+S61+S76+S86+S104</f>
        <v>127.11257130000001</v>
      </c>
      <c r="T105" s="359">
        <f t="shared" ref="T105" si="389">T42+T61+T76+T86+T104</f>
        <v>176.00202179999999</v>
      </c>
      <c r="U105" s="359">
        <f t="shared" ref="U105" si="390">U42+U61+U76+U86+U104</f>
        <v>166.22413170000002</v>
      </c>
      <c r="V105" s="359">
        <f t="shared" ref="V105" si="391">V42+V61+V76+V86+V104</f>
        <v>24.444725250000001</v>
      </c>
      <c r="W105" s="359">
        <f t="shared" ref="W105" si="392">W42+W61+W76+W86+W104</f>
        <v>4.8889450499999993</v>
      </c>
      <c r="X105" s="359">
        <f t="shared" ref="X105" si="393">X42+X61+X76+X86+X104</f>
        <v>185.77991190000006</v>
      </c>
      <c r="Y105" s="359">
        <f t="shared" ref="Y105" si="394">Y42+Y61+Y76+Y86+Y104</f>
        <v>254.22514260000003</v>
      </c>
      <c r="Z105" s="359">
        <f t="shared" ref="Z105" si="395">Z42+Z61+Z76+Z86+Z104</f>
        <v>176.00202179999999</v>
      </c>
      <c r="AA105" s="359">
        <f t="shared" ref="AA105" si="396">AA42+AA61+AA76+AA86+AA104</f>
        <v>0</v>
      </c>
      <c r="AB105" s="359">
        <f t="shared" ref="AB105" si="397">AB42+AB61+AB76+AB86+AB104</f>
        <v>0</v>
      </c>
      <c r="AC105" s="359">
        <f t="shared" ref="AC105" si="398">AC42+AC61+AC76+AC86+AC104</f>
        <v>1464.9057168000002</v>
      </c>
      <c r="AD105" s="359">
        <f t="shared" ref="AD105" si="399">AD42+AD61+AD76+AD86+AD104</f>
        <v>2829.0695355999997</v>
      </c>
      <c r="AE105" s="359">
        <f t="shared" ref="AE105" si="400">AE42+AE61+AE76+AE86+AE104</f>
        <v>1731.8717465</v>
      </c>
      <c r="AF105" s="359">
        <f t="shared" ref="AF105" si="401">AF42+AF61+AF76+AF86+AF104</f>
        <v>271.85497475000005</v>
      </c>
      <c r="AG105" s="359">
        <f t="shared" ref="AG105" si="402">AG42+AG61+AG76+AG86+AG104</f>
        <v>54.370994950000004</v>
      </c>
      <c r="AH105" s="359">
        <f t="shared" ref="AH105" si="403">AH42+AH61+AH76+AH86+AH104</f>
        <v>37962.073200000006</v>
      </c>
      <c r="AI105" s="359">
        <f t="shared" ref="AI105" si="404">AI42+AI61+AI76+AI86+AI104</f>
        <v>69597.1342</v>
      </c>
      <c r="AJ105" s="359">
        <f t="shared" ref="AJ105" si="405">AJ42+AJ61+AJ76+AJ86+AJ104</f>
        <v>44289.085399999996</v>
      </c>
      <c r="AK105" s="359">
        <f t="shared" ref="AK105" si="406">AK42+AK61+AK76+AK86+AK104</f>
        <v>6327.012200000001</v>
      </c>
      <c r="AL105" s="359">
        <f t="shared" ref="AL105" si="407">AL42+AL61+AL76+AL86+AL104</f>
        <v>1265.4024400000003</v>
      </c>
      <c r="AM105" s="359">
        <f t="shared" ref="AM105" si="408">AM42+AM61+AM76+AM86+AM104</f>
        <v>0</v>
      </c>
      <c r="AN105" s="359">
        <f t="shared" ref="AN105" si="409">AN42+AN61+AN76+AN86+AN104</f>
        <v>0</v>
      </c>
      <c r="AO105" s="359">
        <f t="shared" ref="AO105" si="410">AO42+AO61+AO76+AO86+AO104</f>
        <v>0</v>
      </c>
      <c r="AP105" s="359">
        <f t="shared" ref="AP105" si="411">AP42+AP61+AP76+AP86+AP104</f>
        <v>0</v>
      </c>
      <c r="AQ105" s="359">
        <f t="shared" ref="AQ105" si="412">AQ42+AQ61+AQ76+AQ86+AQ104</f>
        <v>0</v>
      </c>
      <c r="AR105" s="359">
        <f t="shared" ref="AR105" si="413">AR42+AR61+AR76+AR86+AR104</f>
        <v>34280.267194169995</v>
      </c>
      <c r="AS105" s="359">
        <f t="shared" ref="AS105" si="414">AS42+AS61+AS76+AS86+AS104</f>
        <v>52329.852166350014</v>
      </c>
      <c r="AT105" s="359">
        <f t="shared" ref="AT105" si="415">AT42+AT61+AT76+AT86+AT104</f>
        <v>40009.77857853</v>
      </c>
      <c r="AU105" s="359">
        <f t="shared" ref="AU105" si="416">AU42+AU61+AU76+AU86+AU104</f>
        <v>4537.1576932124999</v>
      </c>
      <c r="AV105" s="359">
        <f t="shared" ref="AV105" si="417">AV42+AV61+AV76+AV86+AV104</f>
        <v>907.43153864250007</v>
      </c>
      <c r="AW105" s="359">
        <f t="shared" ref="AW105" si="418">AW42+AW61+AW76+AW86+AW104</f>
        <v>3808.9185771299999</v>
      </c>
      <c r="AX105" s="359">
        <f t="shared" ref="AX105" si="419">AX42+AX61+AX76+AX86+AX104</f>
        <v>17443.28405545</v>
      </c>
      <c r="AY105" s="359">
        <f t="shared" ref="AY105" si="420">AY42+AY61+AY76+AY86+AY104</f>
        <v>4445.5309531699986</v>
      </c>
      <c r="AZ105" s="359">
        <f t="shared" ref="AZ105" si="421">AZ42+AZ61+AZ76+AZ86+AZ104</f>
        <v>1814.2992320374997</v>
      </c>
      <c r="BA105" s="359">
        <f t="shared" ref="BA105" si="422">BA42+BA61+BA76+BA86+BA104</f>
        <v>362.85984640749996</v>
      </c>
      <c r="BB105" s="359">
        <f t="shared" ref="BB105" si="423">BB42+BB61+BB76+BB86+BB104</f>
        <v>39739.871400000011</v>
      </c>
      <c r="BC105" s="359">
        <f t="shared" ref="BC105" si="424">BC42+BC61+BC76+BC86+BC104</f>
        <v>72856.430899999992</v>
      </c>
      <c r="BD105" s="359">
        <f t="shared" ref="BD105" si="425">BD42+BD61+BD76+BD86+BD104</f>
        <v>46363.183300000004</v>
      </c>
      <c r="BE105" s="359">
        <f t="shared" ref="BE105" si="426">BE42+BE61+BE76+BE86+BE104</f>
        <v>6623.3119000000006</v>
      </c>
      <c r="BF105" s="359">
        <f t="shared" ref="BF105" si="427">BF42+BF61+BF76+BF86+BF104</f>
        <v>1324.66238</v>
      </c>
      <c r="BG105" s="359">
        <f t="shared" ref="BG105" si="428">BG42+BG61+BG76+BG86+BG104</f>
        <v>5273.8242939299989</v>
      </c>
      <c r="BH105" s="359">
        <f t="shared" ref="BH105" si="429">BH42+BH61+BH76+BH86+BH104</f>
        <v>20272.35359105</v>
      </c>
      <c r="BI105" s="359">
        <f t="shared" ref="BI105" si="430">BI42+BI61+BI76+BI86+BI104</f>
        <v>6177.4026996699995</v>
      </c>
      <c r="BJ105" s="359">
        <f t="shared" ref="BJ105" si="431">BJ42+BJ61+BJ76+BJ86+BJ104</f>
        <v>2086.1542067875002</v>
      </c>
      <c r="BK105" s="359">
        <f t="shared" ref="BK105" si="432">BK42+BK61+BK76+BK86+BK104</f>
        <v>417.23084135749991</v>
      </c>
      <c r="BL105" s="359">
        <f t="shared" ref="BL105" si="433">BL42+BL61+BL76+BL86+BL104</f>
        <v>34466.047106070007</v>
      </c>
      <c r="BM105" s="359">
        <f t="shared" ref="BM105" si="434">BM42+BM61+BM76+BM86+BM104</f>
        <v>52584.077308950007</v>
      </c>
      <c r="BN105" s="359">
        <f t="shared" ref="BN105" si="435">BN42+BN61+BN76+BN86+BN104</f>
        <v>40185.780600330007</v>
      </c>
      <c r="BO105" s="359">
        <f t="shared" ref="BO105" si="436">BO42+BO61+BO76+BO86+BO104</f>
        <v>4537.1576932124999</v>
      </c>
      <c r="BP105" s="359">
        <f t="shared" ref="BP105" si="437">BP42+BP61+BP76+BP86+BP104</f>
        <v>907.43153864250007</v>
      </c>
      <c r="BQ105" s="359">
        <f t="shared" ref="BQ105" si="438">BQ42+BQ61+BQ76+BQ86+BQ104</f>
        <v>29705862</v>
      </c>
      <c r="BR105" s="359">
        <f t="shared" ref="BR105" si="439">BR42+BR61+BR76+BR86+BR104</f>
        <v>16979884</v>
      </c>
    </row>
    <row r="106" spans="1:71" x14ac:dyDescent="0.25">
      <c r="M106" s="250"/>
    </row>
    <row r="107" spans="1:71" x14ac:dyDescent="0.25">
      <c r="K107" t="s">
        <v>233</v>
      </c>
    </row>
  </sheetData>
  <sortState ref="B6:BT94">
    <sortCondition ref="F6:F94"/>
    <sortCondition ref="B6:B94"/>
  </sortState>
  <mergeCells count="35">
    <mergeCell ref="B104:E104"/>
    <mergeCell ref="B105:E105"/>
    <mergeCell ref="B6:I6"/>
    <mergeCell ref="B43:I43"/>
    <mergeCell ref="B62:I62"/>
    <mergeCell ref="B77:I77"/>
    <mergeCell ref="B87:I87"/>
    <mergeCell ref="B42:E42"/>
    <mergeCell ref="B61:E61"/>
    <mergeCell ref="B76:E76"/>
    <mergeCell ref="B86:E86"/>
    <mergeCell ref="BQ3:BR3"/>
    <mergeCell ref="N4:R4"/>
    <mergeCell ref="X4:AB4"/>
    <mergeCell ref="AC4:AG4"/>
    <mergeCell ref="AH4:AL4"/>
    <mergeCell ref="AM4:AQ4"/>
    <mergeCell ref="AR4:AV4"/>
    <mergeCell ref="AW4:BA4"/>
    <mergeCell ref="BG4:BK4"/>
    <mergeCell ref="N3:AG3"/>
    <mergeCell ref="AH3:BA3"/>
    <mergeCell ref="BB3:BP3"/>
    <mergeCell ref="BL4:BP4"/>
    <mergeCell ref="BB4:BF4"/>
    <mergeCell ref="D3:D5"/>
    <mergeCell ref="J4:K4"/>
    <mergeCell ref="L4:M4"/>
    <mergeCell ref="B3:C5"/>
    <mergeCell ref="S4:W4"/>
    <mergeCell ref="E3:E5"/>
    <mergeCell ref="G3:M3"/>
    <mergeCell ref="G4:G5"/>
    <mergeCell ref="H4:H5"/>
    <mergeCell ref="I4:I5"/>
  </mergeCells>
  <pageMargins left="0.7" right="0.7" top="0.75" bottom="0.75" header="0.3" footer="0.3"/>
  <pageSetup paperSize="8" scale="87" orientation="landscape" r:id="rId1"/>
  <colBreaks count="2" manualBreakCount="2">
    <brk id="33" max="1048575" man="1"/>
    <brk id="6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DM109"/>
  <sheetViews>
    <sheetView zoomScale="80" zoomScaleNormal="80" workbookViewId="0">
      <pane xSplit="3" ySplit="5" topLeftCell="BS93" activePane="bottomRight" state="frozen"/>
      <selection pane="topRight" activeCell="D1" sqref="D1"/>
      <selection pane="bottomLeft" activeCell="A6" sqref="A6"/>
      <selection pane="bottomRight" activeCell="CA106" sqref="CA106:CB106"/>
    </sheetView>
  </sheetViews>
  <sheetFormatPr defaultRowHeight="15" x14ac:dyDescent="0.25"/>
  <cols>
    <col min="1" max="1" width="11.42578125" customWidth="1"/>
    <col min="2" max="2" width="4.5703125" customWidth="1"/>
    <col min="3" max="3" width="14" customWidth="1"/>
    <col min="4" max="4" width="14" hidden="1" customWidth="1"/>
    <col min="5" max="5" width="14" customWidth="1"/>
    <col min="6" max="6" width="13.5703125" customWidth="1"/>
    <col min="7" max="8" width="14.5703125" customWidth="1"/>
    <col min="9" max="10" width="10.85546875" customWidth="1"/>
    <col min="11" max="11" width="9" customWidth="1"/>
    <col min="12" max="12" width="7.85546875" customWidth="1"/>
    <col min="13" max="13" width="5.7109375" hidden="1" customWidth="1"/>
    <col min="14" max="14" width="5" hidden="1" customWidth="1"/>
    <col min="15" max="15" width="5.5703125" hidden="1" customWidth="1"/>
    <col min="16" max="16" width="5.85546875" hidden="1" customWidth="1"/>
    <col min="17" max="32" width="5.7109375" hidden="1" customWidth="1"/>
    <col min="33" max="35" width="6.5703125" hidden="1" customWidth="1"/>
    <col min="36" max="42" width="5.7109375" hidden="1" customWidth="1"/>
    <col min="43" max="43" width="6.5703125" hidden="1" customWidth="1"/>
    <col min="44" max="45" width="6.7109375" hidden="1" customWidth="1"/>
    <col min="46" max="52" width="5.7109375" hidden="1" customWidth="1"/>
    <col min="53" max="53" width="8.7109375" hidden="1" customWidth="1"/>
    <col min="54" max="54" width="7.28515625" hidden="1" customWidth="1"/>
    <col min="55" max="55" width="7.140625" hidden="1" customWidth="1"/>
    <col min="56" max="56" width="7" hidden="1" customWidth="1"/>
    <col min="57" max="58" width="5.7109375" hidden="1" customWidth="1"/>
    <col min="59" max="59" width="7.140625" hidden="1" customWidth="1"/>
    <col min="60" max="60" width="5.7109375" hidden="1" customWidth="1"/>
    <col min="61" max="61" width="7" hidden="1" customWidth="1"/>
    <col min="62" max="62" width="5.7109375" hidden="1" customWidth="1"/>
    <col min="63" max="63" width="7.140625" hidden="1" customWidth="1"/>
    <col min="64" max="64" width="7" hidden="1" customWidth="1"/>
    <col min="65" max="65" width="6.85546875" hidden="1" customWidth="1"/>
    <col min="66" max="67" width="5.7109375" hidden="1" customWidth="1"/>
    <col min="68" max="68" width="10.140625" style="31" customWidth="1"/>
    <col min="69" max="69" width="8.28515625" style="31" customWidth="1"/>
    <col min="70" max="71" width="9.85546875" style="31" bestFit="1" customWidth="1"/>
    <col min="72" max="72" width="9.85546875" style="31" customWidth="1"/>
    <col min="73" max="73" width="11.42578125" style="31" bestFit="1" customWidth="1"/>
    <col min="74" max="74" width="11" style="31" customWidth="1"/>
    <col min="75" max="75" width="10.85546875" style="31" customWidth="1"/>
    <col min="76" max="77" width="10.7109375" style="31" customWidth="1"/>
    <col min="78" max="78" width="10.5703125" style="31" customWidth="1"/>
    <col min="79" max="79" width="13.85546875" style="31" customWidth="1"/>
    <col min="80" max="80" width="12.28515625" style="31" customWidth="1"/>
    <col min="81" max="81" width="13.5703125" style="31" customWidth="1"/>
    <col min="82" max="82" width="12.28515625" style="31" customWidth="1"/>
    <col min="83" max="83" width="14.140625" style="31" customWidth="1"/>
    <col min="84" max="84" width="12.28515625" style="31" customWidth="1"/>
    <col min="85" max="85" width="14" style="31" customWidth="1"/>
    <col min="86" max="86" width="12.140625" style="31" customWidth="1"/>
    <col min="87" max="87" width="13.7109375" style="31" customWidth="1"/>
    <col min="88" max="88" width="12.140625" style="31" customWidth="1"/>
    <col min="89" max="89" width="13.7109375" style="31" customWidth="1"/>
    <col min="90" max="90" width="12.28515625" style="31" customWidth="1"/>
    <col min="91" max="91" width="14" style="31" customWidth="1"/>
    <col min="92" max="92" width="13.140625" style="31" customWidth="1"/>
    <col min="93" max="96" width="8.140625" style="31" bestFit="1" customWidth="1"/>
    <col min="97" max="98" width="9.85546875" style="31" bestFit="1" customWidth="1"/>
    <col min="99" max="102" width="10.85546875" style="31" bestFit="1" customWidth="1"/>
    <col min="103" max="103" width="10.85546875" bestFit="1" customWidth="1"/>
    <col min="104" max="104" width="14" bestFit="1" customWidth="1"/>
    <col min="105" max="105" width="13" customWidth="1"/>
    <col min="106" max="106" width="13.28515625" customWidth="1"/>
    <col min="107" max="107" width="13.5703125" customWidth="1"/>
    <col min="108" max="108" width="13" customWidth="1"/>
    <col min="109" max="110" width="12.5703125" customWidth="1"/>
    <col min="111" max="111" width="12.140625" customWidth="1"/>
    <col min="112" max="112" width="18.140625" customWidth="1"/>
    <col min="113" max="113" width="19.28515625" customWidth="1"/>
    <col min="114" max="114" width="19.7109375" customWidth="1"/>
    <col min="115" max="115" width="11.140625" customWidth="1"/>
  </cols>
  <sheetData>
    <row r="2" spans="2:116" ht="15.75" thickBot="1" x14ac:dyDescent="0.3">
      <c r="DK2" s="36"/>
    </row>
    <row r="3" spans="2:116" s="2" customFormat="1" ht="40.5" customHeight="1" thickBot="1" x14ac:dyDescent="0.35">
      <c r="B3" s="421" t="s">
        <v>26</v>
      </c>
      <c r="C3" s="474"/>
      <c r="D3" s="262"/>
      <c r="E3" s="426" t="s">
        <v>47</v>
      </c>
      <c r="F3" s="428" t="s">
        <v>39</v>
      </c>
      <c r="G3" s="428"/>
      <c r="H3" s="428"/>
      <c r="I3" s="474"/>
      <c r="J3" s="474"/>
      <c r="K3" s="474"/>
      <c r="L3" s="422"/>
      <c r="M3" s="480" t="s">
        <v>230</v>
      </c>
      <c r="N3" s="481"/>
      <c r="O3" s="481"/>
      <c r="P3" s="481"/>
      <c r="Q3" s="481"/>
      <c r="R3" s="481"/>
      <c r="S3" s="481"/>
      <c r="T3" s="481"/>
      <c r="U3" s="481"/>
      <c r="V3" s="481"/>
      <c r="W3" s="481"/>
      <c r="X3" s="481"/>
      <c r="Y3" s="481"/>
      <c r="Z3" s="481"/>
      <c r="AA3" s="481"/>
      <c r="AB3" s="481"/>
      <c r="AC3" s="481"/>
      <c r="AD3" s="481"/>
      <c r="AE3" s="481"/>
      <c r="AF3" s="482"/>
      <c r="AG3" s="487" t="s">
        <v>231</v>
      </c>
      <c r="AH3" s="488"/>
      <c r="AI3" s="488"/>
      <c r="AJ3" s="488"/>
      <c r="AK3" s="488"/>
      <c r="AL3" s="488"/>
      <c r="AM3" s="488"/>
      <c r="AN3" s="488"/>
      <c r="AO3" s="488"/>
      <c r="AP3" s="488"/>
      <c r="AQ3" s="488"/>
      <c r="AR3" s="488"/>
      <c r="AS3" s="488"/>
      <c r="AT3" s="488"/>
      <c r="AU3" s="488"/>
      <c r="AV3" s="488"/>
      <c r="AW3" s="488"/>
      <c r="AX3" s="488"/>
      <c r="AY3" s="488"/>
      <c r="AZ3" s="489"/>
      <c r="BA3" s="490" t="s">
        <v>232</v>
      </c>
      <c r="BB3" s="491"/>
      <c r="BC3" s="491"/>
      <c r="BD3" s="491"/>
      <c r="BE3" s="491"/>
      <c r="BF3" s="491"/>
      <c r="BG3" s="491"/>
      <c r="BH3" s="491"/>
      <c r="BI3" s="491"/>
      <c r="BJ3" s="491"/>
      <c r="BK3" s="491"/>
      <c r="BL3" s="491"/>
      <c r="BM3" s="491"/>
      <c r="BN3" s="491"/>
      <c r="BO3" s="491"/>
      <c r="BP3" s="495" t="s">
        <v>32</v>
      </c>
      <c r="BQ3" s="496"/>
      <c r="BR3" s="496"/>
      <c r="BS3" s="496"/>
      <c r="BT3" s="496"/>
      <c r="BU3" s="496"/>
      <c r="BV3" s="496"/>
      <c r="BW3" s="496"/>
      <c r="BX3" s="496"/>
      <c r="BY3" s="496"/>
      <c r="BZ3" s="496"/>
      <c r="CA3" s="496"/>
      <c r="CB3" s="496"/>
      <c r="CC3" s="496"/>
      <c r="CD3" s="496"/>
      <c r="CE3" s="496"/>
      <c r="CF3" s="496"/>
      <c r="CG3" s="496"/>
      <c r="CH3" s="496"/>
      <c r="CI3" s="496"/>
      <c r="CJ3" s="496"/>
      <c r="CK3" s="496"/>
      <c r="CL3" s="496"/>
      <c r="CM3" s="496"/>
      <c r="CN3" s="496"/>
      <c r="CO3" s="496"/>
      <c r="CP3" s="496"/>
      <c r="CQ3" s="496"/>
      <c r="CR3" s="496"/>
      <c r="CS3" s="496"/>
      <c r="CT3" s="496"/>
      <c r="CU3" s="496"/>
      <c r="CV3" s="496"/>
      <c r="CW3" s="496"/>
      <c r="CX3" s="496"/>
      <c r="CY3" s="496"/>
      <c r="CZ3" s="496"/>
      <c r="DA3" s="496"/>
      <c r="DB3" s="496"/>
      <c r="DC3" s="496"/>
      <c r="DD3" s="496"/>
      <c r="DE3" s="496"/>
      <c r="DF3" s="496"/>
      <c r="DG3" s="497"/>
      <c r="DH3" s="231"/>
      <c r="DI3" s="240"/>
      <c r="DJ3" s="240"/>
      <c r="DK3" s="245"/>
    </row>
    <row r="4" spans="2:116" s="2" customFormat="1" ht="69" customHeight="1" thickBot="1" x14ac:dyDescent="0.35">
      <c r="B4" s="423"/>
      <c r="C4" s="475"/>
      <c r="D4" s="263"/>
      <c r="E4" s="478"/>
      <c r="F4" s="418" t="s">
        <v>27</v>
      </c>
      <c r="G4" s="420" t="s">
        <v>28</v>
      </c>
      <c r="H4" s="420" t="s">
        <v>29</v>
      </c>
      <c r="I4" s="486" t="s">
        <v>42</v>
      </c>
      <c r="J4" s="471"/>
      <c r="K4" s="470" t="s">
        <v>43</v>
      </c>
      <c r="L4" s="471"/>
      <c r="M4" s="472" t="s">
        <v>16</v>
      </c>
      <c r="N4" s="472"/>
      <c r="O4" s="472"/>
      <c r="P4" s="472"/>
      <c r="Q4" s="472"/>
      <c r="R4" s="473" t="s">
        <v>20</v>
      </c>
      <c r="S4" s="473"/>
      <c r="T4" s="473"/>
      <c r="U4" s="473"/>
      <c r="V4" s="473"/>
      <c r="W4" s="472" t="s">
        <v>38</v>
      </c>
      <c r="X4" s="472"/>
      <c r="Y4" s="472"/>
      <c r="Z4" s="472"/>
      <c r="AA4" s="472"/>
      <c r="AB4" s="473" t="s">
        <v>21</v>
      </c>
      <c r="AC4" s="473"/>
      <c r="AD4" s="473"/>
      <c r="AE4" s="473"/>
      <c r="AF4" s="483"/>
      <c r="AG4" s="502" t="s">
        <v>16</v>
      </c>
      <c r="AH4" s="503"/>
      <c r="AI4" s="503"/>
      <c r="AJ4" s="503"/>
      <c r="AK4" s="503"/>
      <c r="AL4" s="504" t="s">
        <v>22</v>
      </c>
      <c r="AM4" s="504"/>
      <c r="AN4" s="504"/>
      <c r="AO4" s="504"/>
      <c r="AP4" s="504"/>
      <c r="AQ4" s="503" t="s">
        <v>36</v>
      </c>
      <c r="AR4" s="503"/>
      <c r="AS4" s="503"/>
      <c r="AT4" s="503"/>
      <c r="AU4" s="503"/>
      <c r="AV4" s="504" t="s">
        <v>23</v>
      </c>
      <c r="AW4" s="504"/>
      <c r="AX4" s="504"/>
      <c r="AY4" s="504"/>
      <c r="AZ4" s="505"/>
      <c r="BA4" s="24" t="s">
        <v>24</v>
      </c>
      <c r="BB4" s="25"/>
      <c r="BC4" s="25"/>
      <c r="BD4" s="26"/>
      <c r="BE4" s="26"/>
      <c r="BF4" s="506" t="s">
        <v>25</v>
      </c>
      <c r="BG4" s="506"/>
      <c r="BH4" s="506"/>
      <c r="BI4" s="506"/>
      <c r="BJ4" s="506"/>
      <c r="BK4" s="506" t="s">
        <v>37</v>
      </c>
      <c r="BL4" s="506"/>
      <c r="BM4" s="506"/>
      <c r="BN4" s="506"/>
      <c r="BO4" s="506"/>
      <c r="BP4" s="498" t="s">
        <v>234</v>
      </c>
      <c r="BQ4" s="499"/>
      <c r="BR4" s="499"/>
      <c r="BS4" s="499"/>
      <c r="BT4" s="499"/>
      <c r="BU4" s="499"/>
      <c r="BV4" s="499"/>
      <c r="BW4" s="499"/>
      <c r="BX4" s="499"/>
      <c r="BY4" s="499"/>
      <c r="BZ4" s="499"/>
      <c r="CA4" s="500"/>
      <c r="CB4" s="500"/>
      <c r="CC4" s="500"/>
      <c r="CD4" s="500"/>
      <c r="CE4" s="500"/>
      <c r="CF4" s="500"/>
      <c r="CG4" s="500"/>
      <c r="CH4" s="500"/>
      <c r="CI4" s="500"/>
      <c r="CJ4" s="500"/>
      <c r="CK4" s="500"/>
      <c r="CL4" s="500"/>
      <c r="CM4" s="501"/>
      <c r="CN4" s="501"/>
      <c r="CO4" s="492" t="s">
        <v>235</v>
      </c>
      <c r="CP4" s="493"/>
      <c r="CQ4" s="493"/>
      <c r="CR4" s="493"/>
      <c r="CS4" s="493"/>
      <c r="CT4" s="493"/>
      <c r="CU4" s="493"/>
      <c r="CV4" s="493"/>
      <c r="CW4" s="493"/>
      <c r="CX4" s="493"/>
      <c r="CY4" s="493"/>
      <c r="CZ4" s="493"/>
      <c r="DA4" s="493"/>
      <c r="DB4" s="493"/>
      <c r="DC4" s="493"/>
      <c r="DD4" s="493"/>
      <c r="DE4" s="493"/>
      <c r="DF4" s="493"/>
      <c r="DG4" s="494"/>
      <c r="DH4" s="232" t="s">
        <v>333</v>
      </c>
      <c r="DI4" s="231" t="s">
        <v>349</v>
      </c>
      <c r="DJ4" s="232" t="s">
        <v>350</v>
      </c>
      <c r="DK4" s="246"/>
    </row>
    <row r="5" spans="2:116" s="2" customFormat="1" ht="25.5" customHeight="1" thickBot="1" x14ac:dyDescent="0.35">
      <c r="B5" s="476"/>
      <c r="C5" s="477"/>
      <c r="D5" s="264"/>
      <c r="E5" s="479"/>
      <c r="F5" s="484"/>
      <c r="G5" s="485"/>
      <c r="H5" s="485"/>
      <c r="I5" s="126" t="s">
        <v>40</v>
      </c>
      <c r="J5" s="127" t="s">
        <v>41</v>
      </c>
      <c r="K5" s="171" t="s">
        <v>40</v>
      </c>
      <c r="L5" s="127" t="s">
        <v>41</v>
      </c>
      <c r="M5" s="13" t="s">
        <v>17</v>
      </c>
      <c r="N5" s="13" t="s">
        <v>18</v>
      </c>
      <c r="O5" s="13" t="s">
        <v>19</v>
      </c>
      <c r="P5" s="13" t="s">
        <v>30</v>
      </c>
      <c r="Q5" s="13" t="s">
        <v>31</v>
      </c>
      <c r="R5" s="13" t="s">
        <v>17</v>
      </c>
      <c r="S5" s="13" t="s">
        <v>18</v>
      </c>
      <c r="T5" s="13" t="s">
        <v>19</v>
      </c>
      <c r="U5" s="13" t="s">
        <v>30</v>
      </c>
      <c r="V5" s="13" t="s">
        <v>31</v>
      </c>
      <c r="W5" s="13" t="s">
        <v>17</v>
      </c>
      <c r="X5" s="13" t="s">
        <v>18</v>
      </c>
      <c r="Y5" s="13" t="s">
        <v>19</v>
      </c>
      <c r="Z5" s="13" t="s">
        <v>30</v>
      </c>
      <c r="AA5" s="13" t="s">
        <v>31</v>
      </c>
      <c r="AB5" s="13" t="s">
        <v>17</v>
      </c>
      <c r="AC5" s="13" t="s">
        <v>18</v>
      </c>
      <c r="AD5" s="13" t="s">
        <v>19</v>
      </c>
      <c r="AE5" s="13" t="s">
        <v>30</v>
      </c>
      <c r="AF5" s="14" t="s">
        <v>31</v>
      </c>
      <c r="AG5" s="17" t="s">
        <v>17</v>
      </c>
      <c r="AH5" s="18" t="s">
        <v>18</v>
      </c>
      <c r="AI5" s="18" t="s">
        <v>19</v>
      </c>
      <c r="AJ5" s="18" t="s">
        <v>30</v>
      </c>
      <c r="AK5" s="18" t="s">
        <v>31</v>
      </c>
      <c r="AL5" s="18" t="s">
        <v>17</v>
      </c>
      <c r="AM5" s="18" t="s">
        <v>18</v>
      </c>
      <c r="AN5" s="18" t="s">
        <v>19</v>
      </c>
      <c r="AO5" s="18" t="s">
        <v>30</v>
      </c>
      <c r="AP5" s="18" t="s">
        <v>31</v>
      </c>
      <c r="AQ5" s="18" t="s">
        <v>17</v>
      </c>
      <c r="AR5" s="18" t="s">
        <v>18</v>
      </c>
      <c r="AS5" s="18" t="s">
        <v>19</v>
      </c>
      <c r="AT5" s="18" t="s">
        <v>30</v>
      </c>
      <c r="AU5" s="18" t="s">
        <v>31</v>
      </c>
      <c r="AV5" s="18" t="s">
        <v>17</v>
      </c>
      <c r="AW5" s="18" t="s">
        <v>18</v>
      </c>
      <c r="AX5" s="18" t="s">
        <v>19</v>
      </c>
      <c r="AY5" s="18" t="s">
        <v>30</v>
      </c>
      <c r="AZ5" s="19" t="s">
        <v>31</v>
      </c>
      <c r="BA5" s="27" t="s">
        <v>17</v>
      </c>
      <c r="BB5" s="28" t="s">
        <v>18</v>
      </c>
      <c r="BC5" s="28" t="s">
        <v>19</v>
      </c>
      <c r="BD5" s="28" t="s">
        <v>30</v>
      </c>
      <c r="BE5" s="28" t="s">
        <v>31</v>
      </c>
      <c r="BF5" s="28" t="s">
        <v>17</v>
      </c>
      <c r="BG5" s="28" t="s">
        <v>18</v>
      </c>
      <c r="BH5" s="28" t="s">
        <v>19</v>
      </c>
      <c r="BI5" s="28" t="s">
        <v>30</v>
      </c>
      <c r="BJ5" s="28" t="s">
        <v>31</v>
      </c>
      <c r="BK5" s="28" t="s">
        <v>17</v>
      </c>
      <c r="BL5" s="28" t="s">
        <v>18</v>
      </c>
      <c r="BM5" s="28" t="s">
        <v>19</v>
      </c>
      <c r="BN5" s="28" t="s">
        <v>30</v>
      </c>
      <c r="BO5" s="28" t="s">
        <v>31</v>
      </c>
      <c r="BP5" s="164">
        <v>2004</v>
      </c>
      <c r="BQ5" s="166">
        <v>2005</v>
      </c>
      <c r="BR5" s="166">
        <v>2006</v>
      </c>
      <c r="BS5" s="166">
        <v>2007</v>
      </c>
      <c r="BT5" s="166">
        <v>2008</v>
      </c>
      <c r="BU5" s="166">
        <v>2009</v>
      </c>
      <c r="BV5" s="166">
        <v>2010</v>
      </c>
      <c r="BW5" s="166">
        <v>2011</v>
      </c>
      <c r="BX5" s="166">
        <v>2012</v>
      </c>
      <c r="BY5" s="166">
        <v>2013</v>
      </c>
      <c r="BZ5" s="167">
        <v>2014</v>
      </c>
      <c r="CA5" s="205">
        <v>2015</v>
      </c>
      <c r="CB5" s="464" t="s">
        <v>331</v>
      </c>
      <c r="CC5" s="205">
        <v>2016</v>
      </c>
      <c r="CD5" s="464" t="s">
        <v>331</v>
      </c>
      <c r="CE5" s="205">
        <v>2017</v>
      </c>
      <c r="CF5" s="464" t="s">
        <v>331</v>
      </c>
      <c r="CG5" s="205">
        <v>2018</v>
      </c>
      <c r="CH5" s="464" t="s">
        <v>331</v>
      </c>
      <c r="CI5" s="205">
        <v>2019</v>
      </c>
      <c r="CJ5" s="464" t="s">
        <v>331</v>
      </c>
      <c r="CK5" s="205">
        <v>2020</v>
      </c>
      <c r="CL5" s="464" t="s">
        <v>331</v>
      </c>
      <c r="CM5" s="196">
        <v>2021</v>
      </c>
      <c r="CN5" s="167">
        <v>2022</v>
      </c>
      <c r="CO5" s="165">
        <v>2004</v>
      </c>
      <c r="CP5" s="189">
        <v>2005</v>
      </c>
      <c r="CQ5" s="189">
        <v>2006</v>
      </c>
      <c r="CR5" s="189">
        <v>2007</v>
      </c>
      <c r="CS5" s="189">
        <v>2008</v>
      </c>
      <c r="CT5" s="189">
        <v>2009</v>
      </c>
      <c r="CU5" s="189">
        <v>2010</v>
      </c>
      <c r="CV5" s="189">
        <v>2011</v>
      </c>
      <c r="CW5" s="189">
        <v>2012</v>
      </c>
      <c r="CX5" s="189">
        <v>2013</v>
      </c>
      <c r="CY5" s="190">
        <v>2014</v>
      </c>
      <c r="CZ5" s="191">
        <v>2015</v>
      </c>
      <c r="DA5" s="191">
        <v>2016</v>
      </c>
      <c r="DB5" s="191">
        <v>2017</v>
      </c>
      <c r="DC5" s="191">
        <v>2018</v>
      </c>
      <c r="DD5" s="191">
        <v>2019</v>
      </c>
      <c r="DE5" s="191">
        <v>2020</v>
      </c>
      <c r="DF5" s="191">
        <v>2021</v>
      </c>
      <c r="DG5" s="192">
        <v>2022</v>
      </c>
      <c r="DH5" s="233">
        <v>2015</v>
      </c>
      <c r="DI5" s="241">
        <v>2015</v>
      </c>
      <c r="DJ5" s="241">
        <v>2015</v>
      </c>
      <c r="DK5" s="247"/>
    </row>
    <row r="6" spans="2:116" s="2" customFormat="1" ht="37.5" customHeight="1" thickBot="1" x14ac:dyDescent="0.5">
      <c r="B6" s="466" t="s">
        <v>330</v>
      </c>
      <c r="C6" s="467"/>
      <c r="D6" s="467"/>
      <c r="E6" s="467"/>
      <c r="F6" s="467"/>
      <c r="G6" s="467"/>
      <c r="H6" s="467"/>
      <c r="I6" s="468"/>
      <c r="J6" s="468"/>
      <c r="K6" s="468"/>
      <c r="L6" s="469"/>
      <c r="M6" s="12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7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9"/>
      <c r="BA6" s="27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165"/>
      <c r="BQ6" s="209">
        <v>6.5000000000000002E-2</v>
      </c>
      <c r="BR6" s="209">
        <v>0.20799999999999999</v>
      </c>
      <c r="BS6" s="209">
        <v>0.26200000000000001</v>
      </c>
      <c r="BT6" s="209">
        <v>0.14399999999999999</v>
      </c>
      <c r="BU6" s="209">
        <v>-8.5000000000000006E-2</v>
      </c>
      <c r="BV6" s="209">
        <v>-0.104</v>
      </c>
      <c r="BW6" s="209">
        <v>0.05</v>
      </c>
      <c r="BX6" s="209">
        <v>0.14899999999999999</v>
      </c>
      <c r="BY6" s="209">
        <v>4.0000000000000001E-3</v>
      </c>
      <c r="BZ6" s="193">
        <v>2.3E-2</v>
      </c>
      <c r="CA6" s="208">
        <v>2.5000000000000001E-2</v>
      </c>
      <c r="CB6" s="465"/>
      <c r="CC6" s="208">
        <v>2.5000000000000001E-2</v>
      </c>
      <c r="CD6" s="465"/>
      <c r="CE6" s="208">
        <v>2.5000000000000001E-2</v>
      </c>
      <c r="CF6" s="465"/>
      <c r="CG6" s="208">
        <v>2.5000000000000001E-2</v>
      </c>
      <c r="CH6" s="465"/>
      <c r="CI6" s="208">
        <v>2.5000000000000001E-2</v>
      </c>
      <c r="CJ6" s="465"/>
      <c r="CK6" s="208">
        <v>2.5000000000000001E-2</v>
      </c>
      <c r="CL6" s="465"/>
      <c r="CM6" s="207">
        <v>2.5000000000000001E-2</v>
      </c>
      <c r="CN6" s="193">
        <v>2.5000000000000001E-2</v>
      </c>
      <c r="CO6" s="169"/>
      <c r="CP6" s="170">
        <v>6.5000000000000002E-2</v>
      </c>
      <c r="CQ6" s="170">
        <v>0.20799999999999999</v>
      </c>
      <c r="CR6" s="170">
        <v>0.26200000000000001</v>
      </c>
      <c r="CS6" s="170">
        <v>0.14399999999999999</v>
      </c>
      <c r="CT6" s="170">
        <v>-8.5000000000000006E-2</v>
      </c>
      <c r="CU6" s="170">
        <v>-0.104</v>
      </c>
      <c r="CV6" s="170">
        <v>0.05</v>
      </c>
      <c r="CW6" s="170">
        <v>0.14899999999999999</v>
      </c>
      <c r="CX6" s="170">
        <v>4.0000000000000001E-3</v>
      </c>
      <c r="CY6" s="183">
        <v>2.3E-2</v>
      </c>
      <c r="CZ6" s="185">
        <v>2.5000000000000001E-2</v>
      </c>
      <c r="DA6" s="185">
        <v>2.5000000000000001E-2</v>
      </c>
      <c r="DB6" s="185">
        <v>2.5000000000000001E-2</v>
      </c>
      <c r="DC6" s="185">
        <v>2.5000000000000001E-2</v>
      </c>
      <c r="DD6" s="185">
        <v>2.5000000000000001E-2</v>
      </c>
      <c r="DE6" s="185">
        <v>2.5000000000000001E-2</v>
      </c>
      <c r="DF6" s="185">
        <v>2.5000000000000001E-2</v>
      </c>
      <c r="DG6" s="184">
        <v>2.5000000000000001E-2</v>
      </c>
      <c r="DH6" s="234"/>
      <c r="DI6" s="242"/>
      <c r="DJ6" s="239"/>
      <c r="DK6" s="244"/>
    </row>
    <row r="7" spans="2:116" s="2" customFormat="1" ht="22.5" customHeight="1" thickBot="1" x14ac:dyDescent="0.4">
      <c r="B7" s="509" t="s">
        <v>363</v>
      </c>
      <c r="C7" s="510"/>
      <c r="D7" s="510"/>
      <c r="E7" s="510"/>
      <c r="F7" s="510"/>
      <c r="G7" s="510"/>
      <c r="H7" s="510"/>
      <c r="I7" s="510"/>
      <c r="J7" s="510"/>
      <c r="K7" s="510"/>
      <c r="L7" s="511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361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414" t="s">
        <v>373</v>
      </c>
      <c r="BQ7" s="410">
        <v>1</v>
      </c>
      <c r="BR7" s="411">
        <f>BQ7+(BQ7*BR6)</f>
        <v>1.208</v>
      </c>
      <c r="BS7" s="411">
        <f t="shared" ref="BS7:BV7" si="0">BR7+(BR7*BS6)</f>
        <v>1.5244960000000001</v>
      </c>
      <c r="BT7" s="411">
        <f t="shared" si="0"/>
        <v>1.7440234240000001</v>
      </c>
      <c r="BU7" s="411">
        <f t="shared" si="0"/>
        <v>1.59578143296</v>
      </c>
      <c r="BV7" s="411">
        <f t="shared" si="0"/>
        <v>1.4298201639321599</v>
      </c>
      <c r="BW7" s="411">
        <f>BV7+(BV7*BW6)</f>
        <v>1.501311172128768</v>
      </c>
      <c r="BX7" s="411">
        <f t="shared" ref="BX7" si="1">BW7+(BW7*BX6)</f>
        <v>1.7250065367759544</v>
      </c>
      <c r="BY7" s="411">
        <f t="shared" ref="BY7" si="2">BX7+(BX7*BY6)</f>
        <v>1.7319065629230581</v>
      </c>
      <c r="BZ7" s="411">
        <f t="shared" ref="BZ7" si="3">BY7+(BY7*BZ6)</f>
        <v>1.7717404138702884</v>
      </c>
      <c r="CA7" s="411">
        <f>BZ7+(BZ7*CA6)</f>
        <v>1.8160339242170456</v>
      </c>
      <c r="CB7" s="411"/>
      <c r="CC7" s="411">
        <f>CA7+(CA7*CC6)</f>
        <v>1.8614347723224718</v>
      </c>
      <c r="CD7" s="411"/>
      <c r="CE7" s="411">
        <f>CC7+(CC7*CE6)</f>
        <v>1.9079706416305335</v>
      </c>
      <c r="CF7" s="411"/>
      <c r="CG7" s="411">
        <f>CE7+(CE7*CG6)</f>
        <v>1.9556699076712969</v>
      </c>
      <c r="CH7" s="411"/>
      <c r="CI7" s="411">
        <f>CG7+(CG7*CI6)</f>
        <v>2.0045616553630792</v>
      </c>
      <c r="CJ7" s="412"/>
      <c r="CK7" s="413"/>
      <c r="CL7" s="364"/>
      <c r="CM7" s="363"/>
      <c r="CN7" s="362"/>
      <c r="CO7" s="365"/>
      <c r="CP7" s="366"/>
      <c r="CQ7" s="366"/>
      <c r="CR7" s="366"/>
      <c r="CS7" s="366"/>
      <c r="CT7" s="366"/>
      <c r="CU7" s="366"/>
      <c r="CV7" s="366"/>
      <c r="CW7" s="366"/>
      <c r="CX7" s="366"/>
      <c r="CY7" s="367"/>
      <c r="CZ7" s="368"/>
      <c r="DA7" s="368"/>
      <c r="DB7" s="368"/>
      <c r="DC7" s="368"/>
      <c r="DD7" s="368"/>
      <c r="DE7" s="368"/>
      <c r="DF7" s="368"/>
      <c r="DG7" s="368"/>
      <c r="DH7" s="369"/>
      <c r="DI7" s="370"/>
      <c r="DJ7" s="371"/>
      <c r="DK7" s="244"/>
    </row>
    <row r="8" spans="2:116" s="1" customFormat="1" x14ac:dyDescent="0.25">
      <c r="B8" s="46">
        <v>2</v>
      </c>
      <c r="C8" s="51" t="s">
        <v>45</v>
      </c>
      <c r="D8" s="282" t="s">
        <v>250</v>
      </c>
      <c r="E8" s="109">
        <v>101057</v>
      </c>
      <c r="F8" s="177">
        <v>100334</v>
      </c>
      <c r="G8" s="70">
        <v>13163</v>
      </c>
      <c r="H8" s="97">
        <f t="shared" ref="H8:H39" si="4">F8+G8</f>
        <v>113497</v>
      </c>
      <c r="I8" s="93">
        <f t="shared" ref="I8:I39" si="5">J8/F8</f>
        <v>1</v>
      </c>
      <c r="J8" s="114">
        <v>100334</v>
      </c>
      <c r="K8" s="96">
        <f t="shared" ref="K8:K39" si="6">L8/F8</f>
        <v>0</v>
      </c>
      <c r="L8" s="97">
        <f t="shared" ref="L8:L39" si="7">F8-J8</f>
        <v>0</v>
      </c>
      <c r="M8" s="173">
        <f t="shared" ref="M8:M39" si="8">L8*60*365/1000000</f>
        <v>0</v>
      </c>
      <c r="N8" s="71">
        <f t="shared" ref="N8:N39" si="9">L8*135*365/1000000</f>
        <v>0</v>
      </c>
      <c r="O8" s="71">
        <f t="shared" ref="O8:O39" si="10">L8*60*365/1000000</f>
        <v>0</v>
      </c>
      <c r="P8" s="71">
        <f t="shared" ref="P8:P39" si="11">L8*12*365/1000000</f>
        <v>0</v>
      </c>
      <c r="Q8" s="71">
        <f t="shared" ref="Q8:Q39" si="12">L8*2*365/1000000</f>
        <v>0</v>
      </c>
      <c r="R8" s="71">
        <f t="shared" ref="R8:R39" si="13">L8*13*365/1000000</f>
        <v>0</v>
      </c>
      <c r="S8" s="71">
        <f t="shared" ref="S8:S39" si="14">L8*22*365/1000000</f>
        <v>0</v>
      </c>
      <c r="T8" s="71">
        <f t="shared" ref="T8:T39" si="15">L8*15*365/1000000</f>
        <v>0</v>
      </c>
      <c r="U8" s="71">
        <f t="shared" ref="U8:U39" si="16">L8*3*365/1000000</f>
        <v>0</v>
      </c>
      <c r="V8" s="71">
        <f t="shared" ref="V8:V39" si="17">L8*0.5*365/1000000</f>
        <v>0</v>
      </c>
      <c r="W8" s="71">
        <f t="shared" ref="W8:W39" si="18">L8*19*365/1000000</f>
        <v>0</v>
      </c>
      <c r="X8" s="71">
        <f t="shared" ref="X8:X39" si="19">L8*32*365/1000000</f>
        <v>0</v>
      </c>
      <c r="Y8" s="71">
        <f t="shared" ref="Y8:Y39" si="20">L8*15*365/1000000</f>
        <v>0</v>
      </c>
      <c r="Z8" s="71">
        <f t="shared" ref="Z8:Z39" si="21">L8*0*365/1000000</f>
        <v>0</v>
      </c>
      <c r="AA8" s="71">
        <f t="shared" ref="AA8:AA39" si="22">L8*0*365/1000000</f>
        <v>0</v>
      </c>
      <c r="AB8" s="71">
        <f t="shared" ref="AB8:AB39" si="23">L8*28*365/1000000</f>
        <v>0</v>
      </c>
      <c r="AC8" s="71">
        <f t="shared" ref="AC8:AC39" si="24">L8*81*365/1000000</f>
        <v>0</v>
      </c>
      <c r="AD8" s="71">
        <f t="shared" ref="AD8:AD39" si="25">L8*30*365/1000000</f>
        <v>0</v>
      </c>
      <c r="AE8" s="71">
        <f t="shared" ref="AE8:AE39" si="26">L8*9*365/1000000</f>
        <v>0</v>
      </c>
      <c r="AF8" s="71">
        <f t="shared" ref="AF8:AF39" si="27">L8*1.5*365/1000000</f>
        <v>0</v>
      </c>
      <c r="AG8" s="72">
        <f t="shared" ref="AG8:AG39" si="28">(J8+G8)*60*365/1000000</f>
        <v>2485.5843</v>
      </c>
      <c r="AH8" s="72">
        <f t="shared" ref="AH8:AH39" si="29">($J8+$G8)*135*365/1000000</f>
        <v>5592.5646749999996</v>
      </c>
      <c r="AI8" s="72">
        <f t="shared" ref="AI8:AI39" si="30">($J8+$G8)*60*365/1000000</f>
        <v>2485.5843</v>
      </c>
      <c r="AJ8" s="72">
        <f t="shared" ref="AJ8:AJ39" si="31">($J8+$G8)*12*365/1000000</f>
        <v>497.11685999999997</v>
      </c>
      <c r="AK8" s="72">
        <f t="shared" ref="AK8:AK39" si="32">($J8+$G8)*2*365/1000000</f>
        <v>82.852810000000005</v>
      </c>
      <c r="AL8" s="73">
        <v>0.9</v>
      </c>
      <c r="AM8" s="73">
        <v>0.75</v>
      </c>
      <c r="AN8" s="73">
        <v>0.9</v>
      </c>
      <c r="AO8" s="73">
        <v>0.1</v>
      </c>
      <c r="AP8" s="73">
        <v>0.1</v>
      </c>
      <c r="AQ8" s="72">
        <f t="shared" ref="AQ8:AQ39" si="33">(R8+AG8)*AL8</f>
        <v>2237.0258699999999</v>
      </c>
      <c r="AR8" s="72">
        <f t="shared" ref="AR8:AR39" si="34">(S8+AH8)*AM8</f>
        <v>4194.4235062499993</v>
      </c>
      <c r="AS8" s="72">
        <f t="shared" ref="AS8:AS39" si="35">(T8+AI8)*AN8</f>
        <v>2237.0258699999999</v>
      </c>
      <c r="AT8" s="72">
        <f t="shared" ref="AT8:AT39" si="36">(U8+AJ8)*AO8</f>
        <v>49.711686</v>
      </c>
      <c r="AU8" s="72">
        <f t="shared" ref="AU8:AU39" si="37">(V8+AK8)*AP8</f>
        <v>8.2852810000000012</v>
      </c>
      <c r="AV8" s="72">
        <f t="shared" ref="AV8:AV39" si="38">R8+AG8-AQ8</f>
        <v>248.55843000000004</v>
      </c>
      <c r="AW8" s="72">
        <f t="shared" ref="AW8:AW39" si="39">S8+AH8-AR8</f>
        <v>1398.1411687500004</v>
      </c>
      <c r="AX8" s="72">
        <f t="shared" ref="AX8:AX39" si="40">T8+AI8-AS8</f>
        <v>248.55843000000004</v>
      </c>
      <c r="AY8" s="72">
        <f t="shared" ref="AY8:AY39" si="41">U8+AJ8-AT8</f>
        <v>447.40517399999999</v>
      </c>
      <c r="AZ8" s="72">
        <f t="shared" ref="AZ8:AZ39" si="42">V8+AK8-AU8</f>
        <v>74.567529000000007</v>
      </c>
      <c r="BA8" s="74">
        <f t="shared" ref="BA8:BA39" si="43">M8+AG8</f>
        <v>2485.5843</v>
      </c>
      <c r="BB8" s="74">
        <f t="shared" ref="BB8:BB39" si="44">N8+AH8</f>
        <v>5592.5646749999996</v>
      </c>
      <c r="BC8" s="74">
        <f t="shared" ref="BC8:BC39" si="45">O8+AI8</f>
        <v>2485.5843</v>
      </c>
      <c r="BD8" s="75">
        <f t="shared" ref="BD8:BD39" si="46">P8+AJ8</f>
        <v>497.11685999999997</v>
      </c>
      <c r="BE8" s="75">
        <f t="shared" ref="BE8:BE39" si="47">Q8+AK8</f>
        <v>82.852810000000005</v>
      </c>
      <c r="BF8" s="74">
        <f t="shared" ref="BF8:BF39" si="48">AB8+AV8</f>
        <v>248.55843000000004</v>
      </c>
      <c r="BG8" s="74">
        <f t="shared" ref="BG8:BG39" si="49">AC8+AW8</f>
        <v>1398.1411687500004</v>
      </c>
      <c r="BH8" s="74">
        <f t="shared" ref="BH8:BH39" si="50">AD8+AX8</f>
        <v>248.55843000000004</v>
      </c>
      <c r="BI8" s="75">
        <f t="shared" ref="BI8:BI39" si="51">AE8+AY8</f>
        <v>447.40517399999999</v>
      </c>
      <c r="BJ8" s="75">
        <f t="shared" ref="BJ8:BJ39" si="52">AF8+AZ8</f>
        <v>74.567529000000007</v>
      </c>
      <c r="BK8" s="74">
        <f t="shared" ref="BK8:BK39" si="53">W8+AQ8</f>
        <v>2237.0258699999999</v>
      </c>
      <c r="BL8" s="74">
        <f t="shared" ref="BL8:BL39" si="54">X8+AR8</f>
        <v>4194.4235062499993</v>
      </c>
      <c r="BM8" s="74">
        <f t="shared" ref="BM8:BM39" si="55">Y8+AS8</f>
        <v>2237.0258699999999</v>
      </c>
      <c r="BN8" s="75">
        <f t="shared" ref="BN8:BN39" si="56">Z8+AT8</f>
        <v>49.711686</v>
      </c>
      <c r="BO8" s="186">
        <f t="shared" ref="BO8:BO39" si="57">AA8+AU8</f>
        <v>8.2852810000000012</v>
      </c>
      <c r="BP8" s="168"/>
      <c r="BQ8" s="160"/>
      <c r="BR8" s="160"/>
      <c r="BS8" s="160"/>
      <c r="BT8" s="160"/>
      <c r="BU8" s="160"/>
      <c r="BV8" s="161">
        <v>0</v>
      </c>
      <c r="BW8" s="162">
        <f>BV8+ROUND(BV8*BW$6,2)</f>
        <v>0</v>
      </c>
      <c r="BX8" s="162">
        <f>BW8+ROUND(BW8*BX$6,2)</f>
        <v>0</v>
      </c>
      <c r="BY8" s="162">
        <f>BX8+ROUND(BX8*BY$6,2)</f>
        <v>0</v>
      </c>
      <c r="BZ8" s="163">
        <f>BY8+ROUND(BY8*BZ$6,2)</f>
        <v>0</v>
      </c>
      <c r="CA8" s="200">
        <f>BZ8+ROUND(BZ8*CA$6,2)</f>
        <v>0</v>
      </c>
      <c r="CB8" s="202">
        <f t="shared" ref="CB8:CB39" si="58">CA8*9.5%</f>
        <v>0</v>
      </c>
      <c r="CC8" s="197">
        <f>CA8+ROUND(CA8*CC$6,2)</f>
        <v>0</v>
      </c>
      <c r="CD8" s="206">
        <f t="shared" ref="CD8:CD39" si="59">CC8*9.5%</f>
        <v>0</v>
      </c>
      <c r="CE8" s="162">
        <f>CC8+ROUND(CC8*CE$6,2)</f>
        <v>0</v>
      </c>
      <c r="CF8" s="206">
        <f t="shared" ref="CF8:CF39" si="60">CE8*9.5%</f>
        <v>0</v>
      </c>
      <c r="CG8" s="162">
        <f>CE8+ROUND(CE8*CG$6,2)</f>
        <v>0</v>
      </c>
      <c r="CH8" s="206">
        <f t="shared" ref="CH8:CH39" si="61">CG8*9.5%</f>
        <v>0</v>
      </c>
      <c r="CI8" s="162">
        <f>CG8+ROUND(CG8*CI$6,2)</f>
        <v>0</v>
      </c>
      <c r="CJ8" s="206">
        <f t="shared" ref="CJ8:CJ39" si="62">CI8*9.5%</f>
        <v>0</v>
      </c>
      <c r="CK8" s="162">
        <f>CI8+ROUND(CI8*CK$6,2)</f>
        <v>0</v>
      </c>
      <c r="CL8" s="206">
        <f t="shared" ref="CL8:CL39" si="63">CK8*9.5%</f>
        <v>0</v>
      </c>
      <c r="CM8" s="162">
        <f>CK8+ROUND(CK8*CM$6,2)</f>
        <v>0</v>
      </c>
      <c r="CN8" s="162">
        <f>CM8+ROUND(CM8*CN$6,2)</f>
        <v>0</v>
      </c>
      <c r="CO8" s="168"/>
      <c r="CP8" s="160"/>
      <c r="CQ8" s="160"/>
      <c r="CR8" s="160"/>
      <c r="CS8" s="160"/>
      <c r="CT8" s="281">
        <v>3685000</v>
      </c>
      <c r="CU8" s="162">
        <f t="shared" ref="CU8:DG8" si="64">CT8+ROUND(CT8*CU$6,2)</f>
        <v>3301760</v>
      </c>
      <c r="CV8" s="162">
        <f t="shared" si="64"/>
        <v>3466848</v>
      </c>
      <c r="CW8" s="162">
        <f t="shared" si="64"/>
        <v>3983408.35</v>
      </c>
      <c r="CX8" s="162">
        <f t="shared" si="64"/>
        <v>3999341.98</v>
      </c>
      <c r="CY8" s="162">
        <f t="shared" si="64"/>
        <v>4091326.85</v>
      </c>
      <c r="CZ8" s="163">
        <f t="shared" si="64"/>
        <v>4193610.02</v>
      </c>
      <c r="DA8" s="163">
        <f t="shared" si="64"/>
        <v>4298450.2699999996</v>
      </c>
      <c r="DB8" s="163">
        <f t="shared" si="64"/>
        <v>4405911.5299999993</v>
      </c>
      <c r="DC8" s="163">
        <f t="shared" si="64"/>
        <v>4516059.3199999994</v>
      </c>
      <c r="DD8" s="163">
        <f t="shared" si="64"/>
        <v>4628960.8</v>
      </c>
      <c r="DE8" s="163">
        <f t="shared" si="64"/>
        <v>4744684.8199999994</v>
      </c>
      <c r="DF8" s="163">
        <f t="shared" si="64"/>
        <v>4863301.9399999995</v>
      </c>
      <c r="DG8" s="163">
        <f t="shared" si="64"/>
        <v>4984884.4899999993</v>
      </c>
      <c r="DH8" s="235">
        <v>0</v>
      </c>
      <c r="DI8" s="243">
        <f>SUM(CA8,DH8)</f>
        <v>0</v>
      </c>
      <c r="DJ8" s="248">
        <f t="shared" ref="DJ8:DJ39" si="65">SUM(DK8:DL8)</f>
        <v>0</v>
      </c>
      <c r="DK8" s="382">
        <v>0</v>
      </c>
      <c r="DL8">
        <f>DH8/'1.piel'!G7</f>
        <v>0</v>
      </c>
    </row>
    <row r="9" spans="2:116" x14ac:dyDescent="0.25">
      <c r="B9" s="52">
        <v>7</v>
      </c>
      <c r="C9" s="53" t="s">
        <v>10</v>
      </c>
      <c r="D9" s="36" t="s">
        <v>250</v>
      </c>
      <c r="E9" s="110">
        <v>31401</v>
      </c>
      <c r="F9" s="178">
        <v>29592</v>
      </c>
      <c r="G9" s="63">
        <v>4572</v>
      </c>
      <c r="H9" s="99">
        <f t="shared" si="4"/>
        <v>34164</v>
      </c>
      <c r="I9" s="94">
        <f t="shared" si="5"/>
        <v>0.94559340362260069</v>
      </c>
      <c r="J9" s="89">
        <v>27982</v>
      </c>
      <c r="K9" s="98">
        <f t="shared" si="6"/>
        <v>5.4406596377399294E-2</v>
      </c>
      <c r="L9" s="99">
        <f t="shared" si="7"/>
        <v>1610</v>
      </c>
      <c r="M9" s="174">
        <f t="shared" si="8"/>
        <v>35.259</v>
      </c>
      <c r="N9" s="64">
        <f t="shared" si="9"/>
        <v>79.332750000000004</v>
      </c>
      <c r="O9" s="64">
        <f t="shared" si="10"/>
        <v>35.259</v>
      </c>
      <c r="P9" s="64">
        <f t="shared" si="11"/>
        <v>7.0518000000000001</v>
      </c>
      <c r="Q9" s="64">
        <f t="shared" si="12"/>
        <v>1.1753</v>
      </c>
      <c r="R9" s="64">
        <f t="shared" si="13"/>
        <v>7.6394500000000001</v>
      </c>
      <c r="S9" s="64">
        <f t="shared" si="14"/>
        <v>12.9283</v>
      </c>
      <c r="T9" s="64">
        <f t="shared" si="15"/>
        <v>8.8147500000000001</v>
      </c>
      <c r="U9" s="64">
        <f t="shared" si="16"/>
        <v>1.76295</v>
      </c>
      <c r="V9" s="64">
        <f t="shared" si="17"/>
        <v>0.293825</v>
      </c>
      <c r="W9" s="64">
        <f t="shared" si="18"/>
        <v>11.16535</v>
      </c>
      <c r="X9" s="64">
        <f t="shared" si="19"/>
        <v>18.8048</v>
      </c>
      <c r="Y9" s="64">
        <f t="shared" si="20"/>
        <v>8.8147500000000001</v>
      </c>
      <c r="Z9" s="64">
        <f t="shared" si="21"/>
        <v>0</v>
      </c>
      <c r="AA9" s="64">
        <f t="shared" si="22"/>
        <v>0</v>
      </c>
      <c r="AB9" s="64">
        <f t="shared" si="23"/>
        <v>16.4542</v>
      </c>
      <c r="AC9" s="64">
        <f t="shared" si="24"/>
        <v>47.599649999999997</v>
      </c>
      <c r="AD9" s="64">
        <f t="shared" si="25"/>
        <v>17.6295</v>
      </c>
      <c r="AE9" s="64">
        <f t="shared" si="26"/>
        <v>5.2888500000000001</v>
      </c>
      <c r="AF9" s="64">
        <f t="shared" si="27"/>
        <v>0.88147500000000001</v>
      </c>
      <c r="AG9" s="65">
        <f t="shared" si="28"/>
        <v>712.93259999999998</v>
      </c>
      <c r="AH9" s="65">
        <f t="shared" si="29"/>
        <v>1604.09835</v>
      </c>
      <c r="AI9" s="65">
        <f t="shared" si="30"/>
        <v>712.93259999999998</v>
      </c>
      <c r="AJ9" s="65">
        <f t="shared" si="31"/>
        <v>142.58652000000001</v>
      </c>
      <c r="AK9" s="65">
        <f t="shared" si="32"/>
        <v>23.764420000000001</v>
      </c>
      <c r="AL9" s="66">
        <v>0.9</v>
      </c>
      <c r="AM9" s="66">
        <v>0.75</v>
      </c>
      <c r="AN9" s="66">
        <v>0.9</v>
      </c>
      <c r="AO9" s="66">
        <v>0.1</v>
      </c>
      <c r="AP9" s="66">
        <v>0.1</v>
      </c>
      <c r="AQ9" s="65">
        <f t="shared" si="33"/>
        <v>648.51484500000004</v>
      </c>
      <c r="AR9" s="65">
        <f t="shared" si="34"/>
        <v>1212.7699875000001</v>
      </c>
      <c r="AS9" s="65">
        <f t="shared" si="35"/>
        <v>649.57261500000004</v>
      </c>
      <c r="AT9" s="65">
        <f t="shared" si="36"/>
        <v>14.434947000000001</v>
      </c>
      <c r="AU9" s="65">
        <f t="shared" si="37"/>
        <v>2.4058245</v>
      </c>
      <c r="AV9" s="65">
        <f t="shared" si="38"/>
        <v>72.057204999999954</v>
      </c>
      <c r="AW9" s="65">
        <f t="shared" si="39"/>
        <v>404.25666249999995</v>
      </c>
      <c r="AX9" s="65">
        <f t="shared" si="40"/>
        <v>72.174734999999941</v>
      </c>
      <c r="AY9" s="65">
        <f t="shared" si="41"/>
        <v>129.914523</v>
      </c>
      <c r="AZ9" s="65">
        <f t="shared" si="42"/>
        <v>21.652420499999998</v>
      </c>
      <c r="BA9" s="67">
        <f t="shared" si="43"/>
        <v>748.19159999999999</v>
      </c>
      <c r="BB9" s="67">
        <f t="shared" si="44"/>
        <v>1683.4311</v>
      </c>
      <c r="BC9" s="67">
        <f t="shared" si="45"/>
        <v>748.19159999999999</v>
      </c>
      <c r="BD9" s="68">
        <f t="shared" si="46"/>
        <v>149.63832000000002</v>
      </c>
      <c r="BE9" s="68">
        <f t="shared" si="47"/>
        <v>24.939720000000001</v>
      </c>
      <c r="BF9" s="67">
        <f t="shared" si="48"/>
        <v>88.511404999999954</v>
      </c>
      <c r="BG9" s="67">
        <f t="shared" si="49"/>
        <v>451.85631249999994</v>
      </c>
      <c r="BH9" s="67">
        <f t="shared" si="50"/>
        <v>89.804234999999949</v>
      </c>
      <c r="BI9" s="68">
        <f t="shared" si="51"/>
        <v>135.203373</v>
      </c>
      <c r="BJ9" s="68">
        <f t="shared" si="52"/>
        <v>22.5338955</v>
      </c>
      <c r="BK9" s="67">
        <f t="shared" si="53"/>
        <v>659.68019500000003</v>
      </c>
      <c r="BL9" s="67">
        <f t="shared" si="54"/>
        <v>1231.5747875000002</v>
      </c>
      <c r="BM9" s="67">
        <f t="shared" si="55"/>
        <v>658.38736500000005</v>
      </c>
      <c r="BN9" s="68">
        <f t="shared" si="56"/>
        <v>14.434947000000001</v>
      </c>
      <c r="BO9" s="187">
        <f t="shared" si="57"/>
        <v>2.4058245</v>
      </c>
      <c r="BP9" s="157"/>
      <c r="BQ9" s="148"/>
      <c r="BR9" s="148"/>
      <c r="BS9" s="148"/>
      <c r="BT9" s="151">
        <v>1724600</v>
      </c>
      <c r="BU9" s="150">
        <f>BT9+ROUND(BT9*$BU$6,2)</f>
        <v>1578009</v>
      </c>
      <c r="BV9" s="150">
        <f>BU9+ROUND(BU9*$BV$6,2)</f>
        <v>1413896.06</v>
      </c>
      <c r="BW9" s="150">
        <f>BV9+ROUND(BV9*$BW$6,2)</f>
        <v>1484590.86</v>
      </c>
      <c r="BX9" s="150">
        <f t="shared" ref="BX9:BX40" si="66">BW9+ROUND(BW9*$BX$6,2)</f>
        <v>1705794.9000000001</v>
      </c>
      <c r="BY9" s="150">
        <f t="shared" ref="BY9:BY40" si="67">BX9+ROUND(BX9*$BY$6,2)</f>
        <v>1712618.08</v>
      </c>
      <c r="BZ9" s="155">
        <f t="shared" ref="BZ9:CA28" si="68">BY9+ROUND(BY9*$BZ$6,2)</f>
        <v>1752008.3</v>
      </c>
      <c r="CA9" s="179">
        <f t="shared" si="68"/>
        <v>1792304.49</v>
      </c>
      <c r="CB9" s="203">
        <f t="shared" si="58"/>
        <v>170268.92655</v>
      </c>
      <c r="CC9" s="198">
        <f t="shared" ref="CC9:CC40" si="69">CA9+ROUND(CA9*$BZ$6,2)</f>
        <v>1833527.49</v>
      </c>
      <c r="CD9" s="206">
        <f t="shared" si="59"/>
        <v>174185.11155</v>
      </c>
      <c r="CE9" s="150">
        <f t="shared" ref="CE9:CE40" si="70">CC9+ROUND(CC9*$BZ$6,2)</f>
        <v>1875698.6199999999</v>
      </c>
      <c r="CF9" s="206">
        <f t="shared" si="60"/>
        <v>178191.3689</v>
      </c>
      <c r="CG9" s="150">
        <f t="shared" ref="CG9:CG40" si="71">CE9+ROUND(CE9*$BZ$6,2)</f>
        <v>1918839.69</v>
      </c>
      <c r="CH9" s="206">
        <f t="shared" si="61"/>
        <v>182289.77054999999</v>
      </c>
      <c r="CI9" s="150">
        <f t="shared" ref="CI9:CI40" si="72">CG9+ROUND(CG9*$BZ$6,2)</f>
        <v>1962973</v>
      </c>
      <c r="CJ9" s="206">
        <f t="shared" si="62"/>
        <v>186482.435</v>
      </c>
      <c r="CK9" s="150">
        <f t="shared" ref="CK9:CK40" si="73">CI9+ROUND(CI9*$BZ$6,2)</f>
        <v>2008121.38</v>
      </c>
      <c r="CL9" s="206">
        <f t="shared" si="63"/>
        <v>190771.53109999999</v>
      </c>
      <c r="CM9" s="150">
        <f t="shared" ref="CM9:CM40" si="74">CK9+ROUND(CK9*$BZ$6,2)</f>
        <v>2054308.17</v>
      </c>
      <c r="CN9" s="150">
        <f t="shared" ref="CN9:CN40" si="75">CM9+ROUND(CM9*$BZ$6,2)</f>
        <v>2101557.2599999998</v>
      </c>
      <c r="CO9" s="157"/>
      <c r="CP9" s="148"/>
      <c r="CQ9" s="148"/>
      <c r="CR9" s="148"/>
      <c r="CS9" s="151">
        <v>1538665</v>
      </c>
      <c r="CT9" s="150">
        <f>CS9+ROUND(CS9*CT$6,2)</f>
        <v>1407878.47</v>
      </c>
      <c r="CU9" s="150">
        <f t="shared" ref="CU9:DG9" si="76">CT9+ROUND(CT9*CU$6,2)</f>
        <v>1261459.1099999999</v>
      </c>
      <c r="CV9" s="150">
        <f t="shared" si="76"/>
        <v>1324532.0699999998</v>
      </c>
      <c r="CW9" s="150">
        <f t="shared" si="76"/>
        <v>1521887.3499999999</v>
      </c>
      <c r="CX9" s="150">
        <f t="shared" si="76"/>
        <v>1527974.9</v>
      </c>
      <c r="CY9" s="150">
        <f t="shared" si="76"/>
        <v>1563118.3199999998</v>
      </c>
      <c r="CZ9" s="155">
        <f t="shared" si="76"/>
        <v>1602196.2799999998</v>
      </c>
      <c r="DA9" s="155">
        <f t="shared" si="76"/>
        <v>1642251.1899999997</v>
      </c>
      <c r="DB9" s="155">
        <f t="shared" si="76"/>
        <v>1683307.4699999997</v>
      </c>
      <c r="DC9" s="155">
        <f t="shared" si="76"/>
        <v>1725390.1599999997</v>
      </c>
      <c r="DD9" s="155">
        <f t="shared" si="76"/>
        <v>1768524.9099999997</v>
      </c>
      <c r="DE9" s="155">
        <f t="shared" si="76"/>
        <v>1812738.0299999998</v>
      </c>
      <c r="DF9" s="155">
        <f t="shared" si="76"/>
        <v>1858056.4799999997</v>
      </c>
      <c r="DG9" s="155">
        <f t="shared" si="76"/>
        <v>1904507.8899999997</v>
      </c>
      <c r="DH9" s="236">
        <v>0</v>
      </c>
      <c r="DI9" s="243">
        <f t="shared" ref="DI9:DI37" si="77">SUM(CA9,DH9)</f>
        <v>1792304.49</v>
      </c>
      <c r="DJ9" s="248">
        <f t="shared" si="65"/>
        <v>1113.232602484472</v>
      </c>
      <c r="DK9" s="382">
        <f>CA9/'1.piel'!M8</f>
        <v>1113.232602484472</v>
      </c>
      <c r="DL9">
        <f>DH9/'1.piel'!G8</f>
        <v>0</v>
      </c>
    </row>
    <row r="10" spans="2:116" x14ac:dyDescent="0.25">
      <c r="B10" s="52">
        <v>9</v>
      </c>
      <c r="C10" s="53" t="s">
        <v>53</v>
      </c>
      <c r="D10" s="36" t="s">
        <v>250</v>
      </c>
      <c r="E10" s="110">
        <v>25883</v>
      </c>
      <c r="F10" s="178">
        <v>23232</v>
      </c>
      <c r="G10" s="63">
        <v>1465</v>
      </c>
      <c r="H10" s="99">
        <f t="shared" si="4"/>
        <v>24697</v>
      </c>
      <c r="I10" s="94">
        <f t="shared" si="5"/>
        <v>0.9976325757575758</v>
      </c>
      <c r="J10" s="89">
        <v>23177</v>
      </c>
      <c r="K10" s="98">
        <f t="shared" si="6"/>
        <v>2.3674242424242425E-3</v>
      </c>
      <c r="L10" s="99">
        <f t="shared" si="7"/>
        <v>55</v>
      </c>
      <c r="M10" s="174">
        <f t="shared" si="8"/>
        <v>1.2044999999999999</v>
      </c>
      <c r="N10" s="64">
        <f t="shared" si="9"/>
        <v>2.7101250000000001</v>
      </c>
      <c r="O10" s="64">
        <f t="shared" si="10"/>
        <v>1.2044999999999999</v>
      </c>
      <c r="P10" s="64">
        <f t="shared" si="11"/>
        <v>0.2409</v>
      </c>
      <c r="Q10" s="64">
        <f t="shared" si="12"/>
        <v>4.0149999999999998E-2</v>
      </c>
      <c r="R10" s="64">
        <f t="shared" si="13"/>
        <v>0.26097500000000001</v>
      </c>
      <c r="S10" s="64">
        <f t="shared" si="14"/>
        <v>0.44164999999999999</v>
      </c>
      <c r="T10" s="64">
        <f t="shared" si="15"/>
        <v>0.30112499999999998</v>
      </c>
      <c r="U10" s="64">
        <f t="shared" si="16"/>
        <v>6.0225000000000001E-2</v>
      </c>
      <c r="V10" s="64">
        <f t="shared" si="17"/>
        <v>1.00375E-2</v>
      </c>
      <c r="W10" s="64">
        <f t="shared" si="18"/>
        <v>0.38142500000000001</v>
      </c>
      <c r="X10" s="64">
        <f t="shared" si="19"/>
        <v>0.64239999999999997</v>
      </c>
      <c r="Y10" s="64">
        <f t="shared" si="20"/>
        <v>0.30112499999999998</v>
      </c>
      <c r="Z10" s="64">
        <f t="shared" si="21"/>
        <v>0</v>
      </c>
      <c r="AA10" s="64">
        <f t="shared" si="22"/>
        <v>0</v>
      </c>
      <c r="AB10" s="64">
        <f t="shared" si="23"/>
        <v>0.56210000000000004</v>
      </c>
      <c r="AC10" s="64">
        <f t="shared" si="24"/>
        <v>1.6260749999999999</v>
      </c>
      <c r="AD10" s="64">
        <f t="shared" si="25"/>
        <v>0.60224999999999995</v>
      </c>
      <c r="AE10" s="64">
        <f t="shared" si="26"/>
        <v>0.180675</v>
      </c>
      <c r="AF10" s="64">
        <f t="shared" si="27"/>
        <v>3.01125E-2</v>
      </c>
      <c r="AG10" s="65">
        <f t="shared" si="28"/>
        <v>539.65980000000002</v>
      </c>
      <c r="AH10" s="65">
        <f t="shared" si="29"/>
        <v>1214.2345499999999</v>
      </c>
      <c r="AI10" s="65">
        <f t="shared" si="30"/>
        <v>539.65980000000002</v>
      </c>
      <c r="AJ10" s="65">
        <f t="shared" si="31"/>
        <v>107.93196</v>
      </c>
      <c r="AK10" s="65">
        <f t="shared" si="32"/>
        <v>17.988659999999999</v>
      </c>
      <c r="AL10" s="66">
        <v>0.9</v>
      </c>
      <c r="AM10" s="66">
        <v>0.75</v>
      </c>
      <c r="AN10" s="66">
        <v>0.9</v>
      </c>
      <c r="AO10" s="66">
        <v>0.1</v>
      </c>
      <c r="AP10" s="66">
        <v>0.1</v>
      </c>
      <c r="AQ10" s="65">
        <f t="shared" si="33"/>
        <v>485.92869750000006</v>
      </c>
      <c r="AR10" s="65">
        <f t="shared" si="34"/>
        <v>911.00714999999991</v>
      </c>
      <c r="AS10" s="65">
        <f t="shared" si="35"/>
        <v>485.9648325</v>
      </c>
      <c r="AT10" s="65">
        <f t="shared" si="36"/>
        <v>10.799218500000002</v>
      </c>
      <c r="AU10" s="65">
        <f t="shared" si="37"/>
        <v>1.79986975</v>
      </c>
      <c r="AV10" s="65">
        <f t="shared" si="38"/>
        <v>53.992077499999994</v>
      </c>
      <c r="AW10" s="65">
        <f t="shared" si="39"/>
        <v>303.66904999999997</v>
      </c>
      <c r="AX10" s="65">
        <f t="shared" si="40"/>
        <v>53.996092499999975</v>
      </c>
      <c r="AY10" s="65">
        <f t="shared" si="41"/>
        <v>97.192966500000011</v>
      </c>
      <c r="AZ10" s="65">
        <f t="shared" si="42"/>
        <v>16.19882775</v>
      </c>
      <c r="BA10" s="67">
        <f t="shared" si="43"/>
        <v>540.86430000000007</v>
      </c>
      <c r="BB10" s="67">
        <f t="shared" si="44"/>
        <v>1216.944675</v>
      </c>
      <c r="BC10" s="67">
        <f t="shared" si="45"/>
        <v>540.86430000000007</v>
      </c>
      <c r="BD10" s="68">
        <f t="shared" si="46"/>
        <v>108.17286</v>
      </c>
      <c r="BE10" s="68">
        <f t="shared" si="47"/>
        <v>18.02881</v>
      </c>
      <c r="BF10" s="67">
        <f t="shared" si="48"/>
        <v>54.554177499999994</v>
      </c>
      <c r="BG10" s="67">
        <f t="shared" si="49"/>
        <v>305.29512499999998</v>
      </c>
      <c r="BH10" s="67">
        <f t="shared" si="50"/>
        <v>54.598342499999973</v>
      </c>
      <c r="BI10" s="68">
        <f t="shared" si="51"/>
        <v>97.373641500000005</v>
      </c>
      <c r="BJ10" s="68">
        <f t="shared" si="52"/>
        <v>16.228940250000001</v>
      </c>
      <c r="BK10" s="67">
        <f t="shared" si="53"/>
        <v>486.31012250000003</v>
      </c>
      <c r="BL10" s="67">
        <f t="shared" si="54"/>
        <v>911.64954999999986</v>
      </c>
      <c r="BM10" s="67">
        <f t="shared" si="55"/>
        <v>486.26595750000001</v>
      </c>
      <c r="BN10" s="68">
        <f t="shared" si="56"/>
        <v>10.799218500000002</v>
      </c>
      <c r="BO10" s="187">
        <f t="shared" si="57"/>
        <v>1.79986975</v>
      </c>
      <c r="BP10" s="157"/>
      <c r="BQ10" s="148"/>
      <c r="BR10" s="148"/>
      <c r="BS10" s="148"/>
      <c r="BT10" s="148"/>
      <c r="BU10" s="148"/>
      <c r="BV10" s="148"/>
      <c r="BW10" s="151">
        <v>105676</v>
      </c>
      <c r="BX10" s="150">
        <f t="shared" si="66"/>
        <v>121421.72</v>
      </c>
      <c r="BY10" s="150">
        <f t="shared" si="67"/>
        <v>121907.41</v>
      </c>
      <c r="BZ10" s="155">
        <f t="shared" si="68"/>
        <v>124711.28</v>
      </c>
      <c r="CA10" s="179">
        <f t="shared" si="68"/>
        <v>127579.64</v>
      </c>
      <c r="CB10" s="203">
        <f t="shared" si="58"/>
        <v>12120.0658</v>
      </c>
      <c r="CC10" s="198">
        <f t="shared" si="69"/>
        <v>130513.97</v>
      </c>
      <c r="CD10" s="206">
        <f t="shared" si="59"/>
        <v>12398.827150000001</v>
      </c>
      <c r="CE10" s="150">
        <f t="shared" si="70"/>
        <v>133515.79</v>
      </c>
      <c r="CF10" s="206">
        <f t="shared" si="60"/>
        <v>12684.000050000001</v>
      </c>
      <c r="CG10" s="150">
        <f t="shared" si="71"/>
        <v>136586.65</v>
      </c>
      <c r="CH10" s="206">
        <f t="shared" si="61"/>
        <v>12975.731749999999</v>
      </c>
      <c r="CI10" s="150">
        <f t="shared" si="72"/>
        <v>139728.13999999998</v>
      </c>
      <c r="CJ10" s="206">
        <f t="shared" si="62"/>
        <v>13274.173299999999</v>
      </c>
      <c r="CK10" s="150">
        <f t="shared" si="73"/>
        <v>142941.88999999998</v>
      </c>
      <c r="CL10" s="206">
        <f t="shared" si="63"/>
        <v>13579.479549999998</v>
      </c>
      <c r="CM10" s="150">
        <f t="shared" si="74"/>
        <v>146229.54999999999</v>
      </c>
      <c r="CN10" s="150">
        <f t="shared" si="75"/>
        <v>149592.82999999999</v>
      </c>
      <c r="CO10" s="157"/>
      <c r="CP10" s="148"/>
      <c r="CQ10" s="148"/>
      <c r="CR10" s="148"/>
      <c r="CS10" s="148"/>
      <c r="CT10" s="148"/>
      <c r="CU10" s="148"/>
      <c r="CV10" s="151">
        <v>0</v>
      </c>
      <c r="CW10" s="150">
        <f t="shared" ref="CW10:DG10" si="78">CV10+ROUND(CV10*CW$6,2)</f>
        <v>0</v>
      </c>
      <c r="CX10" s="150">
        <f t="shared" si="78"/>
        <v>0</v>
      </c>
      <c r="CY10" s="150">
        <f t="shared" si="78"/>
        <v>0</v>
      </c>
      <c r="CZ10" s="155">
        <f t="shared" si="78"/>
        <v>0</v>
      </c>
      <c r="DA10" s="155">
        <f t="shared" si="78"/>
        <v>0</v>
      </c>
      <c r="DB10" s="155">
        <f t="shared" si="78"/>
        <v>0</v>
      </c>
      <c r="DC10" s="155">
        <f t="shared" si="78"/>
        <v>0</v>
      </c>
      <c r="DD10" s="155">
        <f t="shared" si="78"/>
        <v>0</v>
      </c>
      <c r="DE10" s="155">
        <f t="shared" si="78"/>
        <v>0</v>
      </c>
      <c r="DF10" s="155">
        <f t="shared" si="78"/>
        <v>0</v>
      </c>
      <c r="DG10" s="155">
        <f t="shared" si="78"/>
        <v>0</v>
      </c>
      <c r="DH10" s="236">
        <v>0</v>
      </c>
      <c r="DI10" s="243">
        <f t="shared" si="77"/>
        <v>127579.64</v>
      </c>
      <c r="DJ10" s="248">
        <f t="shared" si="65"/>
        <v>2319.6298181818183</v>
      </c>
      <c r="DK10" s="382">
        <f>CA10/'1.piel'!M9</f>
        <v>2319.6298181818183</v>
      </c>
      <c r="DL10">
        <f>DH10/'1.piel'!G9</f>
        <v>0</v>
      </c>
    </row>
    <row r="11" spans="2:116" x14ac:dyDescent="0.25">
      <c r="B11" s="52">
        <v>10</v>
      </c>
      <c r="C11" s="53" t="s">
        <v>52</v>
      </c>
      <c r="D11" s="36" t="s">
        <v>250</v>
      </c>
      <c r="E11" s="110">
        <v>24931</v>
      </c>
      <c r="F11" s="178">
        <v>24581</v>
      </c>
      <c r="G11" s="63">
        <v>1681</v>
      </c>
      <c r="H11" s="99">
        <f t="shared" si="4"/>
        <v>26262</v>
      </c>
      <c r="I11" s="94">
        <f t="shared" si="5"/>
        <v>0.84028314551889671</v>
      </c>
      <c r="J11" s="89">
        <v>20655</v>
      </c>
      <c r="K11" s="98">
        <f t="shared" si="6"/>
        <v>0.15971685448110329</v>
      </c>
      <c r="L11" s="99">
        <f t="shared" si="7"/>
        <v>3926</v>
      </c>
      <c r="M11" s="174">
        <f t="shared" si="8"/>
        <v>85.979399999999998</v>
      </c>
      <c r="N11" s="64">
        <f t="shared" si="9"/>
        <v>193.45365000000001</v>
      </c>
      <c r="O11" s="64">
        <f t="shared" si="10"/>
        <v>85.979399999999998</v>
      </c>
      <c r="P11" s="64">
        <f t="shared" si="11"/>
        <v>17.195879999999999</v>
      </c>
      <c r="Q11" s="64">
        <f t="shared" si="12"/>
        <v>2.86598</v>
      </c>
      <c r="R11" s="64">
        <f t="shared" si="13"/>
        <v>18.628869999999999</v>
      </c>
      <c r="S11" s="64">
        <f t="shared" si="14"/>
        <v>31.525780000000001</v>
      </c>
      <c r="T11" s="64">
        <f t="shared" si="15"/>
        <v>21.49485</v>
      </c>
      <c r="U11" s="64">
        <f t="shared" si="16"/>
        <v>4.2989699999999997</v>
      </c>
      <c r="V11" s="64">
        <f t="shared" si="17"/>
        <v>0.71649499999999999</v>
      </c>
      <c r="W11" s="64">
        <f t="shared" si="18"/>
        <v>27.22681</v>
      </c>
      <c r="X11" s="64">
        <f t="shared" si="19"/>
        <v>45.85568</v>
      </c>
      <c r="Y11" s="64">
        <f t="shared" si="20"/>
        <v>21.49485</v>
      </c>
      <c r="Z11" s="64">
        <f t="shared" si="21"/>
        <v>0</v>
      </c>
      <c r="AA11" s="64">
        <f t="shared" si="22"/>
        <v>0</v>
      </c>
      <c r="AB11" s="64">
        <f t="shared" si="23"/>
        <v>40.123719999999999</v>
      </c>
      <c r="AC11" s="64">
        <f t="shared" si="24"/>
        <v>116.07219000000001</v>
      </c>
      <c r="AD11" s="64">
        <f t="shared" si="25"/>
        <v>42.989699999999999</v>
      </c>
      <c r="AE11" s="64">
        <f t="shared" si="26"/>
        <v>12.89691</v>
      </c>
      <c r="AF11" s="64">
        <f t="shared" si="27"/>
        <v>2.1494849999999999</v>
      </c>
      <c r="AG11" s="65">
        <f t="shared" si="28"/>
        <v>489.15839999999997</v>
      </c>
      <c r="AH11" s="65">
        <f t="shared" si="29"/>
        <v>1100.6063999999999</v>
      </c>
      <c r="AI11" s="65">
        <f t="shared" si="30"/>
        <v>489.15839999999997</v>
      </c>
      <c r="AJ11" s="65">
        <f t="shared" si="31"/>
        <v>97.831680000000006</v>
      </c>
      <c r="AK11" s="65">
        <f t="shared" si="32"/>
        <v>16.30528</v>
      </c>
      <c r="AL11" s="66">
        <v>0.9</v>
      </c>
      <c r="AM11" s="66">
        <v>0.75</v>
      </c>
      <c r="AN11" s="66">
        <v>0.9</v>
      </c>
      <c r="AO11" s="66">
        <v>0.1</v>
      </c>
      <c r="AP11" s="66">
        <v>0.1</v>
      </c>
      <c r="AQ11" s="65">
        <f t="shared" si="33"/>
        <v>457.00854299999997</v>
      </c>
      <c r="AR11" s="65">
        <f t="shared" si="34"/>
        <v>849.09913499999993</v>
      </c>
      <c r="AS11" s="65">
        <f t="shared" si="35"/>
        <v>459.58792499999998</v>
      </c>
      <c r="AT11" s="65">
        <f t="shared" si="36"/>
        <v>10.213065</v>
      </c>
      <c r="AU11" s="65">
        <f t="shared" si="37"/>
        <v>1.7021774999999999</v>
      </c>
      <c r="AV11" s="65">
        <f t="shared" si="38"/>
        <v>50.778727000000003</v>
      </c>
      <c r="AW11" s="65">
        <f t="shared" si="39"/>
        <v>283.0330449999999</v>
      </c>
      <c r="AX11" s="65">
        <f t="shared" si="40"/>
        <v>51.065324999999973</v>
      </c>
      <c r="AY11" s="65">
        <f t="shared" si="41"/>
        <v>91.917585000000003</v>
      </c>
      <c r="AZ11" s="65">
        <f t="shared" si="42"/>
        <v>15.319597499999999</v>
      </c>
      <c r="BA11" s="67">
        <f t="shared" si="43"/>
        <v>575.13779999999997</v>
      </c>
      <c r="BB11" s="67">
        <f t="shared" si="44"/>
        <v>1294.0600499999998</v>
      </c>
      <c r="BC11" s="67">
        <f t="shared" si="45"/>
        <v>575.13779999999997</v>
      </c>
      <c r="BD11" s="68">
        <f t="shared" si="46"/>
        <v>115.02756000000001</v>
      </c>
      <c r="BE11" s="68">
        <f t="shared" si="47"/>
        <v>19.17126</v>
      </c>
      <c r="BF11" s="67">
        <f t="shared" si="48"/>
        <v>90.902446999999995</v>
      </c>
      <c r="BG11" s="67">
        <f t="shared" si="49"/>
        <v>399.10523499999988</v>
      </c>
      <c r="BH11" s="67">
        <f t="shared" si="50"/>
        <v>94.055024999999972</v>
      </c>
      <c r="BI11" s="68">
        <f t="shared" si="51"/>
        <v>104.81449500000001</v>
      </c>
      <c r="BJ11" s="68">
        <f t="shared" si="52"/>
        <v>17.469082499999999</v>
      </c>
      <c r="BK11" s="67">
        <f t="shared" si="53"/>
        <v>484.23535299999998</v>
      </c>
      <c r="BL11" s="67">
        <f t="shared" si="54"/>
        <v>894.95481499999994</v>
      </c>
      <c r="BM11" s="67">
        <f t="shared" si="55"/>
        <v>481.08277499999997</v>
      </c>
      <c r="BN11" s="68">
        <f t="shared" si="56"/>
        <v>10.213065</v>
      </c>
      <c r="BO11" s="187">
        <f t="shared" si="57"/>
        <v>1.7021774999999999</v>
      </c>
      <c r="BP11" s="157"/>
      <c r="BQ11" s="148"/>
      <c r="BR11" s="148"/>
      <c r="BS11" s="148"/>
      <c r="BT11" s="148"/>
      <c r="BU11" s="148"/>
      <c r="BV11" s="148"/>
      <c r="BW11" s="151">
        <v>2598025</v>
      </c>
      <c r="BX11" s="150">
        <f t="shared" si="66"/>
        <v>2985130.73</v>
      </c>
      <c r="BY11" s="150">
        <f t="shared" si="67"/>
        <v>2997071.25</v>
      </c>
      <c r="BZ11" s="155">
        <f t="shared" si="68"/>
        <v>3066003.89</v>
      </c>
      <c r="CA11" s="179">
        <f t="shared" si="68"/>
        <v>3136521.98</v>
      </c>
      <c r="CB11" s="203">
        <f t="shared" si="58"/>
        <v>297969.58809999999</v>
      </c>
      <c r="CC11" s="198">
        <f t="shared" si="69"/>
        <v>3208661.9899999998</v>
      </c>
      <c r="CD11" s="206">
        <f t="shared" si="59"/>
        <v>304822.88905</v>
      </c>
      <c r="CE11" s="150">
        <f t="shared" si="70"/>
        <v>3282461.2199999997</v>
      </c>
      <c r="CF11" s="206">
        <f t="shared" si="60"/>
        <v>311833.81589999999</v>
      </c>
      <c r="CG11" s="150">
        <f t="shared" si="71"/>
        <v>3357957.8299999996</v>
      </c>
      <c r="CH11" s="206">
        <f t="shared" si="61"/>
        <v>319005.99384999997</v>
      </c>
      <c r="CI11" s="150">
        <f t="shared" si="72"/>
        <v>3435190.8599999994</v>
      </c>
      <c r="CJ11" s="206">
        <f t="shared" si="62"/>
        <v>326343.13169999997</v>
      </c>
      <c r="CK11" s="150">
        <f t="shared" si="73"/>
        <v>3514200.2499999995</v>
      </c>
      <c r="CL11" s="206">
        <f t="shared" si="63"/>
        <v>333849.02374999993</v>
      </c>
      <c r="CM11" s="150">
        <f t="shared" si="74"/>
        <v>3595026.8599999994</v>
      </c>
      <c r="CN11" s="150">
        <f t="shared" si="75"/>
        <v>3677712.4799999995</v>
      </c>
      <c r="CO11" s="157"/>
      <c r="CP11" s="148"/>
      <c r="CQ11" s="148"/>
      <c r="CR11" s="148"/>
      <c r="CS11" s="148"/>
      <c r="CT11" s="148"/>
      <c r="CU11" s="148"/>
      <c r="CV11" s="151">
        <v>0</v>
      </c>
      <c r="CW11" s="150">
        <f t="shared" ref="CW11:DG11" si="79">CV11+ROUND(CV11*CW$6,2)</f>
        <v>0</v>
      </c>
      <c r="CX11" s="150">
        <f t="shared" si="79"/>
        <v>0</v>
      </c>
      <c r="CY11" s="150">
        <f t="shared" si="79"/>
        <v>0</v>
      </c>
      <c r="CZ11" s="155">
        <f t="shared" si="79"/>
        <v>0</v>
      </c>
      <c r="DA11" s="155">
        <f t="shared" si="79"/>
        <v>0</v>
      </c>
      <c r="DB11" s="155">
        <f t="shared" si="79"/>
        <v>0</v>
      </c>
      <c r="DC11" s="155">
        <f t="shared" si="79"/>
        <v>0</v>
      </c>
      <c r="DD11" s="155">
        <f t="shared" si="79"/>
        <v>0</v>
      </c>
      <c r="DE11" s="155">
        <f t="shared" si="79"/>
        <v>0</v>
      </c>
      <c r="DF11" s="155">
        <f t="shared" si="79"/>
        <v>0</v>
      </c>
      <c r="DG11" s="155">
        <f t="shared" si="79"/>
        <v>0</v>
      </c>
      <c r="DH11" s="236">
        <v>0</v>
      </c>
      <c r="DI11" s="243">
        <f t="shared" si="77"/>
        <v>3136521.98</v>
      </c>
      <c r="DJ11" s="248">
        <f t="shared" si="65"/>
        <v>798.91033622007126</v>
      </c>
      <c r="DK11" s="382">
        <f>CA11/'1.piel'!M10</f>
        <v>798.91033622007126</v>
      </c>
      <c r="DL11">
        <f>DH11/'1.piel'!G10</f>
        <v>0</v>
      </c>
    </row>
    <row r="12" spans="2:116" x14ac:dyDescent="0.25">
      <c r="B12" s="52">
        <v>12</v>
      </c>
      <c r="C12" s="53" t="s">
        <v>55</v>
      </c>
      <c r="D12" s="40" t="s">
        <v>250</v>
      </c>
      <c r="E12" s="110">
        <v>16854</v>
      </c>
      <c r="F12" s="178">
        <v>20394</v>
      </c>
      <c r="G12" s="63">
        <v>2410</v>
      </c>
      <c r="H12" s="99">
        <f t="shared" si="4"/>
        <v>22804</v>
      </c>
      <c r="I12" s="94">
        <f t="shared" si="5"/>
        <v>0.95866431303324506</v>
      </c>
      <c r="J12" s="89">
        <v>19551</v>
      </c>
      <c r="K12" s="98">
        <f t="shared" si="6"/>
        <v>4.133568696675493E-2</v>
      </c>
      <c r="L12" s="99">
        <f t="shared" si="7"/>
        <v>843</v>
      </c>
      <c r="M12" s="174">
        <f t="shared" si="8"/>
        <v>18.4617</v>
      </c>
      <c r="N12" s="64">
        <f t="shared" si="9"/>
        <v>41.538825000000003</v>
      </c>
      <c r="O12" s="64">
        <f t="shared" si="10"/>
        <v>18.4617</v>
      </c>
      <c r="P12" s="64">
        <f t="shared" si="11"/>
        <v>3.6923400000000002</v>
      </c>
      <c r="Q12" s="64">
        <f t="shared" si="12"/>
        <v>0.61538999999999999</v>
      </c>
      <c r="R12" s="64">
        <f t="shared" si="13"/>
        <v>4.0000349999999996</v>
      </c>
      <c r="S12" s="64">
        <f t="shared" si="14"/>
        <v>6.7692899999999998</v>
      </c>
      <c r="T12" s="64">
        <f t="shared" si="15"/>
        <v>4.6154250000000001</v>
      </c>
      <c r="U12" s="64">
        <f t="shared" si="16"/>
        <v>0.92308500000000004</v>
      </c>
      <c r="V12" s="64">
        <f t="shared" si="17"/>
        <v>0.1538475</v>
      </c>
      <c r="W12" s="64">
        <f t="shared" si="18"/>
        <v>5.8462050000000003</v>
      </c>
      <c r="X12" s="64">
        <f t="shared" si="19"/>
        <v>9.8462399999999999</v>
      </c>
      <c r="Y12" s="64">
        <f t="shared" si="20"/>
        <v>4.6154250000000001</v>
      </c>
      <c r="Z12" s="64">
        <f t="shared" si="21"/>
        <v>0</v>
      </c>
      <c r="AA12" s="64">
        <f t="shared" si="22"/>
        <v>0</v>
      </c>
      <c r="AB12" s="64">
        <f t="shared" si="23"/>
        <v>8.6154600000000006</v>
      </c>
      <c r="AC12" s="64">
        <f t="shared" si="24"/>
        <v>24.923295</v>
      </c>
      <c r="AD12" s="64">
        <f t="shared" si="25"/>
        <v>9.2308500000000002</v>
      </c>
      <c r="AE12" s="64">
        <f t="shared" si="26"/>
        <v>2.7692549999999998</v>
      </c>
      <c r="AF12" s="64">
        <f t="shared" si="27"/>
        <v>0.46154250000000002</v>
      </c>
      <c r="AG12" s="65">
        <f t="shared" si="28"/>
        <v>480.94589999999999</v>
      </c>
      <c r="AH12" s="65">
        <f t="shared" si="29"/>
        <v>1082.128275</v>
      </c>
      <c r="AI12" s="65">
        <f t="shared" si="30"/>
        <v>480.94589999999999</v>
      </c>
      <c r="AJ12" s="65">
        <f t="shared" si="31"/>
        <v>96.189179999999993</v>
      </c>
      <c r="AK12" s="65">
        <f t="shared" si="32"/>
        <v>16.03153</v>
      </c>
      <c r="AL12" s="66">
        <v>0.9</v>
      </c>
      <c r="AM12" s="66">
        <v>0.75</v>
      </c>
      <c r="AN12" s="66">
        <v>0.9</v>
      </c>
      <c r="AO12" s="66">
        <v>0.1</v>
      </c>
      <c r="AP12" s="66">
        <v>0.1</v>
      </c>
      <c r="AQ12" s="65">
        <f t="shared" si="33"/>
        <v>436.45134150000001</v>
      </c>
      <c r="AR12" s="65">
        <f t="shared" si="34"/>
        <v>816.67317374999993</v>
      </c>
      <c r="AS12" s="65">
        <f t="shared" si="35"/>
        <v>437.00519250000002</v>
      </c>
      <c r="AT12" s="65">
        <f t="shared" si="36"/>
        <v>9.7112265000000004</v>
      </c>
      <c r="AU12" s="65">
        <f t="shared" si="37"/>
        <v>1.6185377500000002</v>
      </c>
      <c r="AV12" s="65">
        <f t="shared" si="38"/>
        <v>48.494593500000008</v>
      </c>
      <c r="AW12" s="65">
        <f t="shared" si="39"/>
        <v>272.22439125000005</v>
      </c>
      <c r="AX12" s="65">
        <f t="shared" si="40"/>
        <v>48.55613249999999</v>
      </c>
      <c r="AY12" s="65">
        <f t="shared" si="41"/>
        <v>87.401038499999999</v>
      </c>
      <c r="AZ12" s="65">
        <f t="shared" si="42"/>
        <v>14.566839750000002</v>
      </c>
      <c r="BA12" s="67">
        <f t="shared" si="43"/>
        <v>499.4076</v>
      </c>
      <c r="BB12" s="67">
        <f t="shared" si="44"/>
        <v>1123.6671000000001</v>
      </c>
      <c r="BC12" s="67">
        <f t="shared" si="45"/>
        <v>499.4076</v>
      </c>
      <c r="BD12" s="68">
        <f t="shared" si="46"/>
        <v>99.881519999999995</v>
      </c>
      <c r="BE12" s="68">
        <f t="shared" si="47"/>
        <v>16.646920000000001</v>
      </c>
      <c r="BF12" s="67">
        <f t="shared" si="48"/>
        <v>57.110053500000006</v>
      </c>
      <c r="BG12" s="67">
        <f t="shared" si="49"/>
        <v>297.14768625000005</v>
      </c>
      <c r="BH12" s="67">
        <f t="shared" si="50"/>
        <v>57.786982499999993</v>
      </c>
      <c r="BI12" s="68">
        <f t="shared" si="51"/>
        <v>90.1702935</v>
      </c>
      <c r="BJ12" s="68">
        <f t="shared" si="52"/>
        <v>15.028382250000002</v>
      </c>
      <c r="BK12" s="67">
        <f t="shared" si="53"/>
        <v>442.29754650000001</v>
      </c>
      <c r="BL12" s="67">
        <f t="shared" si="54"/>
        <v>826.5194137499999</v>
      </c>
      <c r="BM12" s="67">
        <f t="shared" si="55"/>
        <v>441.62061750000004</v>
      </c>
      <c r="BN12" s="68">
        <f t="shared" si="56"/>
        <v>9.7112265000000004</v>
      </c>
      <c r="BO12" s="187">
        <f t="shared" si="57"/>
        <v>1.6185377500000002</v>
      </c>
      <c r="BP12" s="157"/>
      <c r="BQ12" s="148"/>
      <c r="BR12" s="148"/>
      <c r="BS12" s="148"/>
      <c r="BT12" s="148"/>
      <c r="BU12" s="148"/>
      <c r="BV12" s="151">
        <v>642655</v>
      </c>
      <c r="BW12" s="150">
        <f t="shared" ref="BW12:BW40" si="80">BV12+ROUND(BV12*$BW$6,2)</f>
        <v>674787.75</v>
      </c>
      <c r="BX12" s="150">
        <f t="shared" si="66"/>
        <v>775331.12</v>
      </c>
      <c r="BY12" s="150">
        <f t="shared" si="67"/>
        <v>778432.44</v>
      </c>
      <c r="BZ12" s="155">
        <f t="shared" si="68"/>
        <v>796336.3899999999</v>
      </c>
      <c r="CA12" s="179">
        <f t="shared" si="68"/>
        <v>814652.12999999989</v>
      </c>
      <c r="CB12" s="203">
        <f t="shared" si="58"/>
        <v>77391.952349999992</v>
      </c>
      <c r="CC12" s="198">
        <f t="shared" si="69"/>
        <v>833389.12999999989</v>
      </c>
      <c r="CD12" s="206">
        <f t="shared" si="59"/>
        <v>79171.967349999992</v>
      </c>
      <c r="CE12" s="150">
        <f t="shared" si="70"/>
        <v>852557.07999999984</v>
      </c>
      <c r="CF12" s="206">
        <f t="shared" si="60"/>
        <v>80992.922599999991</v>
      </c>
      <c r="CG12" s="150">
        <f t="shared" si="71"/>
        <v>872165.8899999999</v>
      </c>
      <c r="CH12" s="206">
        <f t="shared" si="61"/>
        <v>82855.759549999988</v>
      </c>
      <c r="CI12" s="150">
        <f t="shared" si="72"/>
        <v>892225.70999999985</v>
      </c>
      <c r="CJ12" s="206">
        <f t="shared" si="62"/>
        <v>84761.442449999988</v>
      </c>
      <c r="CK12" s="150">
        <f t="shared" si="73"/>
        <v>912746.89999999979</v>
      </c>
      <c r="CL12" s="206">
        <f t="shared" si="63"/>
        <v>86710.955499999982</v>
      </c>
      <c r="CM12" s="150">
        <f t="shared" si="74"/>
        <v>933740.07999999984</v>
      </c>
      <c r="CN12" s="150">
        <f t="shared" si="75"/>
        <v>955216.09999999986</v>
      </c>
      <c r="CO12" s="157"/>
      <c r="CP12" s="148"/>
      <c r="CQ12" s="148"/>
      <c r="CR12" s="148"/>
      <c r="CS12" s="148"/>
      <c r="CT12" s="148"/>
      <c r="CU12" s="151">
        <v>1802080</v>
      </c>
      <c r="CV12" s="150">
        <f t="shared" ref="CV12:CV40" si="81">CU12+ROUND(CU12*CV$6,2)</f>
        <v>1892184</v>
      </c>
      <c r="CW12" s="150">
        <f t="shared" ref="CW12:DG12" si="82">CV12+ROUND(CV12*CW$6,2)</f>
        <v>2174119.42</v>
      </c>
      <c r="CX12" s="150">
        <f t="shared" si="82"/>
        <v>2182815.9</v>
      </c>
      <c r="CY12" s="150">
        <f t="shared" si="82"/>
        <v>2233020.67</v>
      </c>
      <c r="CZ12" s="155">
        <f t="shared" si="82"/>
        <v>2288846.19</v>
      </c>
      <c r="DA12" s="155">
        <f t="shared" si="82"/>
        <v>2346067.34</v>
      </c>
      <c r="DB12" s="155">
        <f t="shared" si="82"/>
        <v>2404719.02</v>
      </c>
      <c r="DC12" s="155">
        <f t="shared" si="82"/>
        <v>2464837</v>
      </c>
      <c r="DD12" s="155">
        <f t="shared" si="82"/>
        <v>2526457.9300000002</v>
      </c>
      <c r="DE12" s="155">
        <f t="shared" si="82"/>
        <v>2589619.3800000004</v>
      </c>
      <c r="DF12" s="155">
        <f t="shared" si="82"/>
        <v>2654359.8600000003</v>
      </c>
      <c r="DG12" s="155">
        <f t="shared" si="82"/>
        <v>2720718.8600000003</v>
      </c>
      <c r="DH12" s="236">
        <v>0</v>
      </c>
      <c r="DI12" s="243">
        <f t="shared" si="77"/>
        <v>814652.12999999989</v>
      </c>
      <c r="DJ12" s="248">
        <f t="shared" si="65"/>
        <v>966.3726334519572</v>
      </c>
      <c r="DK12" s="382">
        <f>CA12/'1.piel'!M11</f>
        <v>966.3726334519572</v>
      </c>
      <c r="DL12">
        <f>DH12/'1.piel'!G11</f>
        <v>0</v>
      </c>
    </row>
    <row r="13" spans="2:116" x14ac:dyDescent="0.25">
      <c r="B13" s="52">
        <v>22</v>
      </c>
      <c r="C13" s="53" t="s">
        <v>65</v>
      </c>
      <c r="D13" s="36" t="s">
        <v>250</v>
      </c>
      <c r="E13" s="110">
        <v>8887</v>
      </c>
      <c r="F13" s="178">
        <v>9921</v>
      </c>
      <c r="G13" s="63">
        <v>232</v>
      </c>
      <c r="H13" s="99">
        <f t="shared" si="4"/>
        <v>10153</v>
      </c>
      <c r="I13" s="94">
        <f t="shared" si="5"/>
        <v>0.98790444511641973</v>
      </c>
      <c r="J13" s="89">
        <v>9801</v>
      </c>
      <c r="K13" s="98">
        <f t="shared" si="6"/>
        <v>1.2095554883580285E-2</v>
      </c>
      <c r="L13" s="99">
        <f t="shared" si="7"/>
        <v>120</v>
      </c>
      <c r="M13" s="174">
        <f t="shared" si="8"/>
        <v>2.6280000000000001</v>
      </c>
      <c r="N13" s="64">
        <f t="shared" si="9"/>
        <v>5.9130000000000003</v>
      </c>
      <c r="O13" s="64">
        <f t="shared" si="10"/>
        <v>2.6280000000000001</v>
      </c>
      <c r="P13" s="64">
        <f t="shared" si="11"/>
        <v>0.52559999999999996</v>
      </c>
      <c r="Q13" s="64">
        <f t="shared" si="12"/>
        <v>8.7599999999999997E-2</v>
      </c>
      <c r="R13" s="64">
        <f t="shared" si="13"/>
        <v>0.56940000000000002</v>
      </c>
      <c r="S13" s="64">
        <f t="shared" si="14"/>
        <v>0.96360000000000001</v>
      </c>
      <c r="T13" s="64">
        <f t="shared" si="15"/>
        <v>0.65700000000000003</v>
      </c>
      <c r="U13" s="64">
        <f t="shared" si="16"/>
        <v>0.13139999999999999</v>
      </c>
      <c r="V13" s="64">
        <f t="shared" si="17"/>
        <v>2.1899999999999999E-2</v>
      </c>
      <c r="W13" s="64">
        <f t="shared" si="18"/>
        <v>0.83220000000000005</v>
      </c>
      <c r="X13" s="64">
        <f t="shared" si="19"/>
        <v>1.4016</v>
      </c>
      <c r="Y13" s="64">
        <f t="shared" si="20"/>
        <v>0.65700000000000003</v>
      </c>
      <c r="Z13" s="64">
        <f t="shared" si="21"/>
        <v>0</v>
      </c>
      <c r="AA13" s="64">
        <f t="shared" si="22"/>
        <v>0</v>
      </c>
      <c r="AB13" s="64">
        <f t="shared" si="23"/>
        <v>1.2263999999999999</v>
      </c>
      <c r="AC13" s="64">
        <f t="shared" si="24"/>
        <v>3.5478000000000001</v>
      </c>
      <c r="AD13" s="64">
        <f t="shared" si="25"/>
        <v>1.3140000000000001</v>
      </c>
      <c r="AE13" s="64">
        <f t="shared" si="26"/>
        <v>0.39419999999999999</v>
      </c>
      <c r="AF13" s="64">
        <f t="shared" si="27"/>
        <v>6.5699999999999995E-2</v>
      </c>
      <c r="AG13" s="65">
        <f t="shared" si="28"/>
        <v>219.7227</v>
      </c>
      <c r="AH13" s="65">
        <f t="shared" si="29"/>
        <v>494.37607500000001</v>
      </c>
      <c r="AI13" s="65">
        <f t="shared" si="30"/>
        <v>219.7227</v>
      </c>
      <c r="AJ13" s="65">
        <f t="shared" si="31"/>
        <v>43.944540000000003</v>
      </c>
      <c r="AK13" s="65">
        <f t="shared" si="32"/>
        <v>7.32409</v>
      </c>
      <c r="AL13" s="66">
        <v>0.9</v>
      </c>
      <c r="AM13" s="66">
        <v>0.75</v>
      </c>
      <c r="AN13" s="66">
        <v>0.9</v>
      </c>
      <c r="AO13" s="66">
        <v>0.1</v>
      </c>
      <c r="AP13" s="66">
        <v>0.1</v>
      </c>
      <c r="AQ13" s="65">
        <f t="shared" si="33"/>
        <v>198.26289</v>
      </c>
      <c r="AR13" s="65">
        <f t="shared" si="34"/>
        <v>371.50475625000001</v>
      </c>
      <c r="AS13" s="65">
        <f t="shared" si="35"/>
        <v>198.34173000000001</v>
      </c>
      <c r="AT13" s="65">
        <f t="shared" si="36"/>
        <v>4.4075940000000005</v>
      </c>
      <c r="AU13" s="65">
        <f t="shared" si="37"/>
        <v>0.734599</v>
      </c>
      <c r="AV13" s="65">
        <f t="shared" si="38"/>
        <v>22.029210000000006</v>
      </c>
      <c r="AW13" s="65">
        <f t="shared" si="39"/>
        <v>123.83491874999999</v>
      </c>
      <c r="AX13" s="65">
        <f t="shared" si="40"/>
        <v>22.037970000000001</v>
      </c>
      <c r="AY13" s="65">
        <f t="shared" si="41"/>
        <v>39.668346</v>
      </c>
      <c r="AZ13" s="65">
        <f t="shared" si="42"/>
        <v>6.6113909999999994</v>
      </c>
      <c r="BA13" s="67">
        <f t="shared" si="43"/>
        <v>222.35070000000002</v>
      </c>
      <c r="BB13" s="67">
        <f t="shared" si="44"/>
        <v>500.28907500000003</v>
      </c>
      <c r="BC13" s="67">
        <f t="shared" si="45"/>
        <v>222.35070000000002</v>
      </c>
      <c r="BD13" s="68">
        <f t="shared" si="46"/>
        <v>44.470140000000001</v>
      </c>
      <c r="BE13" s="68">
        <f t="shared" si="47"/>
        <v>7.4116900000000001</v>
      </c>
      <c r="BF13" s="67">
        <f t="shared" si="48"/>
        <v>23.255610000000004</v>
      </c>
      <c r="BG13" s="67">
        <f t="shared" si="49"/>
        <v>127.38271874999998</v>
      </c>
      <c r="BH13" s="67">
        <f t="shared" si="50"/>
        <v>23.351970000000001</v>
      </c>
      <c r="BI13" s="68">
        <f t="shared" si="51"/>
        <v>40.062545999999998</v>
      </c>
      <c r="BJ13" s="68">
        <f t="shared" si="52"/>
        <v>6.677090999999999</v>
      </c>
      <c r="BK13" s="67">
        <f t="shared" si="53"/>
        <v>199.09509</v>
      </c>
      <c r="BL13" s="67">
        <f t="shared" si="54"/>
        <v>372.90635624999999</v>
      </c>
      <c r="BM13" s="67">
        <f t="shared" si="55"/>
        <v>198.99873000000002</v>
      </c>
      <c r="BN13" s="68">
        <f t="shared" si="56"/>
        <v>4.4075940000000005</v>
      </c>
      <c r="BO13" s="187">
        <f t="shared" si="57"/>
        <v>0.734599</v>
      </c>
      <c r="BP13" s="157"/>
      <c r="BQ13" s="148"/>
      <c r="BR13" s="148"/>
      <c r="BS13" s="148"/>
      <c r="BT13" s="148"/>
      <c r="BU13" s="148"/>
      <c r="BV13" s="151">
        <v>309101</v>
      </c>
      <c r="BW13" s="150">
        <f t="shared" si="80"/>
        <v>324556.05</v>
      </c>
      <c r="BX13" s="150">
        <f t="shared" si="66"/>
        <v>372914.89999999997</v>
      </c>
      <c r="BY13" s="150">
        <f t="shared" si="67"/>
        <v>374406.55999999994</v>
      </c>
      <c r="BZ13" s="155">
        <f t="shared" si="68"/>
        <v>383017.90999999992</v>
      </c>
      <c r="CA13" s="179">
        <f t="shared" si="68"/>
        <v>391827.31999999989</v>
      </c>
      <c r="CB13" s="203">
        <f t="shared" si="58"/>
        <v>37223.595399999991</v>
      </c>
      <c r="CC13" s="198">
        <f t="shared" si="69"/>
        <v>400839.34999999992</v>
      </c>
      <c r="CD13" s="206">
        <f t="shared" si="59"/>
        <v>38079.738249999995</v>
      </c>
      <c r="CE13" s="150">
        <f t="shared" si="70"/>
        <v>410058.65999999992</v>
      </c>
      <c r="CF13" s="206">
        <f t="shared" si="60"/>
        <v>38955.57269999999</v>
      </c>
      <c r="CG13" s="150">
        <f t="shared" si="71"/>
        <v>419490.00999999989</v>
      </c>
      <c r="CH13" s="206">
        <f t="shared" si="61"/>
        <v>39851.55094999999</v>
      </c>
      <c r="CI13" s="150">
        <f t="shared" si="72"/>
        <v>429138.27999999991</v>
      </c>
      <c r="CJ13" s="206">
        <f t="shared" si="62"/>
        <v>40768.136599999991</v>
      </c>
      <c r="CK13" s="150">
        <f t="shared" si="73"/>
        <v>439008.4599999999</v>
      </c>
      <c r="CL13" s="206">
        <f t="shared" si="63"/>
        <v>41705.803699999989</v>
      </c>
      <c r="CM13" s="150">
        <f t="shared" si="74"/>
        <v>449105.64999999991</v>
      </c>
      <c r="CN13" s="150">
        <f t="shared" si="75"/>
        <v>459435.0799999999</v>
      </c>
      <c r="CO13" s="157"/>
      <c r="CP13" s="148"/>
      <c r="CQ13" s="148"/>
      <c r="CR13" s="148"/>
      <c r="CS13" s="148"/>
      <c r="CT13" s="148"/>
      <c r="CU13" s="151">
        <v>1140163</v>
      </c>
      <c r="CV13" s="150">
        <f t="shared" si="81"/>
        <v>1197171.1499999999</v>
      </c>
      <c r="CW13" s="150">
        <f t="shared" ref="CW13:DG13" si="83">CV13+ROUND(CV13*CW$6,2)</f>
        <v>1375549.65</v>
      </c>
      <c r="CX13" s="150">
        <f t="shared" si="83"/>
        <v>1381051.8499999999</v>
      </c>
      <c r="CY13" s="150">
        <f t="shared" si="83"/>
        <v>1412816.0399999998</v>
      </c>
      <c r="CZ13" s="155">
        <f t="shared" si="83"/>
        <v>1448136.4399999997</v>
      </c>
      <c r="DA13" s="155">
        <f t="shared" si="83"/>
        <v>1484339.8499999996</v>
      </c>
      <c r="DB13" s="155">
        <f t="shared" si="83"/>
        <v>1521448.3499999996</v>
      </c>
      <c r="DC13" s="155">
        <f t="shared" si="83"/>
        <v>1559484.5599999996</v>
      </c>
      <c r="DD13" s="155">
        <f t="shared" si="83"/>
        <v>1598471.6699999997</v>
      </c>
      <c r="DE13" s="155">
        <f t="shared" si="83"/>
        <v>1638433.4599999997</v>
      </c>
      <c r="DF13" s="155">
        <f t="shared" si="83"/>
        <v>1679394.2999999998</v>
      </c>
      <c r="DG13" s="155">
        <f t="shared" si="83"/>
        <v>1721379.16</v>
      </c>
      <c r="DH13" s="236">
        <v>0</v>
      </c>
      <c r="DI13" s="243">
        <f t="shared" si="77"/>
        <v>391827.31999999989</v>
      </c>
      <c r="DJ13" s="248">
        <f t="shared" si="65"/>
        <v>3265.2276666666658</v>
      </c>
      <c r="DK13" s="382">
        <f>CA13/'1.piel'!M12</f>
        <v>3265.2276666666658</v>
      </c>
      <c r="DL13">
        <f>DH13/'1.piel'!G12</f>
        <v>0</v>
      </c>
    </row>
    <row r="14" spans="2:116" x14ac:dyDescent="0.25">
      <c r="B14" s="52">
        <v>23</v>
      </c>
      <c r="C14" s="53" t="s">
        <v>66</v>
      </c>
      <c r="D14" s="40" t="s">
        <v>250</v>
      </c>
      <c r="E14" s="110">
        <v>8715</v>
      </c>
      <c r="F14" s="178">
        <v>9262</v>
      </c>
      <c r="G14" s="63">
        <v>960</v>
      </c>
      <c r="H14" s="99">
        <f t="shared" si="4"/>
        <v>10222</v>
      </c>
      <c r="I14" s="94">
        <f t="shared" si="5"/>
        <v>0.85672640898294106</v>
      </c>
      <c r="J14" s="89">
        <v>7935</v>
      </c>
      <c r="K14" s="98">
        <f t="shared" si="6"/>
        <v>0.14327359101705894</v>
      </c>
      <c r="L14" s="99">
        <f t="shared" si="7"/>
        <v>1327</v>
      </c>
      <c r="M14" s="174">
        <f t="shared" si="8"/>
        <v>29.061299999999999</v>
      </c>
      <c r="N14" s="64">
        <f t="shared" si="9"/>
        <v>65.387924999999996</v>
      </c>
      <c r="O14" s="64">
        <f t="shared" si="10"/>
        <v>29.061299999999999</v>
      </c>
      <c r="P14" s="64">
        <f t="shared" si="11"/>
        <v>5.8122600000000002</v>
      </c>
      <c r="Q14" s="64">
        <f t="shared" si="12"/>
        <v>0.96870999999999996</v>
      </c>
      <c r="R14" s="64">
        <f t="shared" si="13"/>
        <v>6.2966150000000001</v>
      </c>
      <c r="S14" s="64">
        <f t="shared" si="14"/>
        <v>10.655810000000001</v>
      </c>
      <c r="T14" s="64">
        <f t="shared" si="15"/>
        <v>7.2653249999999998</v>
      </c>
      <c r="U14" s="64">
        <f t="shared" si="16"/>
        <v>1.4530650000000001</v>
      </c>
      <c r="V14" s="64">
        <f t="shared" si="17"/>
        <v>0.24217749999999999</v>
      </c>
      <c r="W14" s="64">
        <f t="shared" si="18"/>
        <v>9.2027450000000002</v>
      </c>
      <c r="X14" s="64">
        <f t="shared" si="19"/>
        <v>15.499359999999999</v>
      </c>
      <c r="Y14" s="64">
        <f t="shared" si="20"/>
        <v>7.2653249999999998</v>
      </c>
      <c r="Z14" s="64">
        <f t="shared" si="21"/>
        <v>0</v>
      </c>
      <c r="AA14" s="64">
        <f t="shared" si="22"/>
        <v>0</v>
      </c>
      <c r="AB14" s="64">
        <f t="shared" si="23"/>
        <v>13.56194</v>
      </c>
      <c r="AC14" s="64">
        <f t="shared" si="24"/>
        <v>39.232754999999997</v>
      </c>
      <c r="AD14" s="64">
        <f t="shared" si="25"/>
        <v>14.53065</v>
      </c>
      <c r="AE14" s="64">
        <f t="shared" si="26"/>
        <v>4.3591949999999997</v>
      </c>
      <c r="AF14" s="64">
        <f t="shared" si="27"/>
        <v>0.72653250000000003</v>
      </c>
      <c r="AG14" s="65">
        <f t="shared" si="28"/>
        <v>194.8005</v>
      </c>
      <c r="AH14" s="65">
        <f t="shared" si="29"/>
        <v>438.30112500000001</v>
      </c>
      <c r="AI14" s="65">
        <f t="shared" si="30"/>
        <v>194.8005</v>
      </c>
      <c r="AJ14" s="65">
        <f t="shared" si="31"/>
        <v>38.960099999999997</v>
      </c>
      <c r="AK14" s="65">
        <f t="shared" si="32"/>
        <v>6.4933500000000004</v>
      </c>
      <c r="AL14" s="66">
        <v>0.9</v>
      </c>
      <c r="AM14" s="66">
        <v>0.75</v>
      </c>
      <c r="AN14" s="66">
        <v>0.9</v>
      </c>
      <c r="AO14" s="66">
        <v>0.1</v>
      </c>
      <c r="AP14" s="66">
        <v>0.1</v>
      </c>
      <c r="AQ14" s="65">
        <f t="shared" si="33"/>
        <v>180.9874035</v>
      </c>
      <c r="AR14" s="65">
        <f t="shared" si="34"/>
        <v>336.71770125</v>
      </c>
      <c r="AS14" s="65">
        <f t="shared" si="35"/>
        <v>181.85924249999999</v>
      </c>
      <c r="AT14" s="65">
        <f t="shared" si="36"/>
        <v>4.0413164999999998</v>
      </c>
      <c r="AU14" s="65">
        <f t="shared" si="37"/>
        <v>0.67355275000000014</v>
      </c>
      <c r="AV14" s="65">
        <f t="shared" si="38"/>
        <v>20.109711500000003</v>
      </c>
      <c r="AW14" s="65">
        <f t="shared" si="39"/>
        <v>112.23923374999998</v>
      </c>
      <c r="AX14" s="65">
        <f t="shared" si="40"/>
        <v>20.206582499999996</v>
      </c>
      <c r="AY14" s="65">
        <f t="shared" si="41"/>
        <v>36.371848499999999</v>
      </c>
      <c r="AZ14" s="65">
        <f t="shared" si="42"/>
        <v>6.061974750000001</v>
      </c>
      <c r="BA14" s="67">
        <f t="shared" si="43"/>
        <v>223.86179999999999</v>
      </c>
      <c r="BB14" s="67">
        <f t="shared" si="44"/>
        <v>503.68905000000001</v>
      </c>
      <c r="BC14" s="67">
        <f t="shared" si="45"/>
        <v>223.86179999999999</v>
      </c>
      <c r="BD14" s="68">
        <f t="shared" si="46"/>
        <v>44.772359999999999</v>
      </c>
      <c r="BE14" s="68">
        <f t="shared" si="47"/>
        <v>7.4620600000000001</v>
      </c>
      <c r="BF14" s="67">
        <f t="shared" si="48"/>
        <v>33.671651500000003</v>
      </c>
      <c r="BG14" s="67">
        <f t="shared" si="49"/>
        <v>151.47198874999998</v>
      </c>
      <c r="BH14" s="67">
        <f t="shared" si="50"/>
        <v>34.737232499999998</v>
      </c>
      <c r="BI14" s="68">
        <f t="shared" si="51"/>
        <v>40.731043499999998</v>
      </c>
      <c r="BJ14" s="68">
        <f t="shared" si="52"/>
        <v>6.7885072500000012</v>
      </c>
      <c r="BK14" s="67">
        <f t="shared" si="53"/>
        <v>190.19014849999999</v>
      </c>
      <c r="BL14" s="67">
        <f t="shared" si="54"/>
        <v>352.21706125000003</v>
      </c>
      <c r="BM14" s="67">
        <f t="shared" si="55"/>
        <v>189.12456749999998</v>
      </c>
      <c r="BN14" s="68">
        <f t="shared" si="56"/>
        <v>4.0413164999999998</v>
      </c>
      <c r="BO14" s="187">
        <f t="shared" si="57"/>
        <v>0.67355275000000014</v>
      </c>
      <c r="BP14" s="157"/>
      <c r="BQ14" s="148"/>
      <c r="BR14" s="148"/>
      <c r="BS14" s="148"/>
      <c r="BT14" s="151">
        <v>533865</v>
      </c>
      <c r="BU14" s="150">
        <f>BT14+ROUND(BT14*$BU$6,2)</f>
        <v>488486.47</v>
      </c>
      <c r="BV14" s="150">
        <f>BU14+ROUND(BU14*$BV$6,2)</f>
        <v>437683.88</v>
      </c>
      <c r="BW14" s="150">
        <f t="shared" si="80"/>
        <v>459568.07</v>
      </c>
      <c r="BX14" s="150">
        <f t="shared" si="66"/>
        <v>528043.71</v>
      </c>
      <c r="BY14" s="150">
        <f t="shared" si="67"/>
        <v>530155.88</v>
      </c>
      <c r="BZ14" s="155">
        <f t="shared" si="68"/>
        <v>542349.47</v>
      </c>
      <c r="CA14" s="179">
        <f>BZ14+ROUND(BZ14*$BZ$6,2)+DH14</f>
        <v>3555287.17</v>
      </c>
      <c r="CB14" s="203">
        <f t="shared" si="58"/>
        <v>337752.28115</v>
      </c>
      <c r="CC14" s="198">
        <f t="shared" si="69"/>
        <v>3637058.77</v>
      </c>
      <c r="CD14" s="206">
        <f t="shared" si="59"/>
        <v>345520.58315000002</v>
      </c>
      <c r="CE14" s="150">
        <f t="shared" si="70"/>
        <v>3720711.12</v>
      </c>
      <c r="CF14" s="206">
        <f t="shared" si="60"/>
        <v>353467.5564</v>
      </c>
      <c r="CG14" s="150">
        <f t="shared" si="71"/>
        <v>3806287.48</v>
      </c>
      <c r="CH14" s="206">
        <f t="shared" si="61"/>
        <v>361597.31060000003</v>
      </c>
      <c r="CI14" s="150">
        <f t="shared" si="72"/>
        <v>3893832.09</v>
      </c>
      <c r="CJ14" s="206">
        <f t="shared" si="62"/>
        <v>369914.04855000001</v>
      </c>
      <c r="CK14" s="150">
        <f t="shared" si="73"/>
        <v>3983390.23</v>
      </c>
      <c r="CL14" s="206">
        <f t="shared" si="63"/>
        <v>378422.07185000001</v>
      </c>
      <c r="CM14" s="150">
        <f t="shared" si="74"/>
        <v>4075008.21</v>
      </c>
      <c r="CN14" s="150">
        <f t="shared" si="75"/>
        <v>4168733.4</v>
      </c>
      <c r="CO14" s="157"/>
      <c r="CP14" s="148"/>
      <c r="CQ14" s="148"/>
      <c r="CR14" s="148"/>
      <c r="CS14" s="151">
        <v>0</v>
      </c>
      <c r="CT14" s="150">
        <f>CS14+ROUND(CS14*CT$6,2)</f>
        <v>0</v>
      </c>
      <c r="CU14" s="150">
        <f>CT14+ROUND(CT14*CU$6,2)</f>
        <v>0</v>
      </c>
      <c r="CV14" s="150">
        <f t="shared" si="81"/>
        <v>0</v>
      </c>
      <c r="CW14" s="150">
        <f t="shared" ref="CW14:DG14" si="84">CV14+ROUND(CV14*CW$6,2)</f>
        <v>0</v>
      </c>
      <c r="CX14" s="150">
        <f t="shared" si="84"/>
        <v>0</v>
      </c>
      <c r="CY14" s="150">
        <f t="shared" si="84"/>
        <v>0</v>
      </c>
      <c r="CZ14" s="155">
        <f t="shared" si="84"/>
        <v>0</v>
      </c>
      <c r="DA14" s="155">
        <f t="shared" si="84"/>
        <v>0</v>
      </c>
      <c r="DB14" s="155">
        <f t="shared" si="84"/>
        <v>0</v>
      </c>
      <c r="DC14" s="155">
        <f t="shared" si="84"/>
        <v>0</v>
      </c>
      <c r="DD14" s="155">
        <f t="shared" si="84"/>
        <v>0</v>
      </c>
      <c r="DE14" s="155">
        <f t="shared" si="84"/>
        <v>0</v>
      </c>
      <c r="DF14" s="155">
        <f t="shared" si="84"/>
        <v>0</v>
      </c>
      <c r="DG14" s="155">
        <f t="shared" si="84"/>
        <v>0</v>
      </c>
      <c r="DH14" s="400">
        <f>DM28*'1.piel'!I13</f>
        <v>3000463.6599999997</v>
      </c>
      <c r="DI14" s="243">
        <f>SUM(CA14,DH14)-DH14</f>
        <v>3555287.1700000004</v>
      </c>
      <c r="DJ14" s="248">
        <f t="shared" si="65"/>
        <v>742.05780955869477</v>
      </c>
      <c r="DK14" s="382">
        <f>(CA14-DH14)/'1.piel'!M13</f>
        <v>418.10362471740785</v>
      </c>
      <c r="DL14">
        <f>DH14/'1.piel'!G13</f>
        <v>323.95418484128692</v>
      </c>
    </row>
    <row r="15" spans="2:116" x14ac:dyDescent="0.25">
      <c r="B15" s="52">
        <v>24</v>
      </c>
      <c r="C15" s="53" t="s">
        <v>67</v>
      </c>
      <c r="D15" s="36" t="s">
        <v>250</v>
      </c>
      <c r="E15" s="110">
        <v>8047</v>
      </c>
      <c r="F15" s="178">
        <v>9134</v>
      </c>
      <c r="G15" s="36">
        <v>1180</v>
      </c>
      <c r="H15" s="99">
        <f t="shared" si="4"/>
        <v>10314</v>
      </c>
      <c r="I15" s="94">
        <f t="shared" si="5"/>
        <v>0.98029340924020147</v>
      </c>
      <c r="J15" s="89">
        <v>8954</v>
      </c>
      <c r="K15" s="98">
        <f t="shared" si="6"/>
        <v>1.9706590759798553E-2</v>
      </c>
      <c r="L15" s="99">
        <f t="shared" si="7"/>
        <v>180</v>
      </c>
      <c r="M15" s="174">
        <f t="shared" si="8"/>
        <v>3.9420000000000002</v>
      </c>
      <c r="N15" s="64">
        <f t="shared" si="9"/>
        <v>8.8695000000000004</v>
      </c>
      <c r="O15" s="64">
        <f t="shared" si="10"/>
        <v>3.9420000000000002</v>
      </c>
      <c r="P15" s="64">
        <f t="shared" si="11"/>
        <v>0.78839999999999999</v>
      </c>
      <c r="Q15" s="64">
        <f t="shared" si="12"/>
        <v>0.13139999999999999</v>
      </c>
      <c r="R15" s="64">
        <f t="shared" si="13"/>
        <v>0.85409999999999997</v>
      </c>
      <c r="S15" s="64">
        <f t="shared" si="14"/>
        <v>1.4454</v>
      </c>
      <c r="T15" s="64">
        <f t="shared" si="15"/>
        <v>0.98550000000000004</v>
      </c>
      <c r="U15" s="64">
        <f t="shared" si="16"/>
        <v>0.1971</v>
      </c>
      <c r="V15" s="64">
        <f t="shared" si="17"/>
        <v>3.2849999999999997E-2</v>
      </c>
      <c r="W15" s="64">
        <f t="shared" si="18"/>
        <v>1.2483</v>
      </c>
      <c r="X15" s="64">
        <f t="shared" si="19"/>
        <v>2.1023999999999998</v>
      </c>
      <c r="Y15" s="64">
        <f t="shared" si="20"/>
        <v>0.98550000000000004</v>
      </c>
      <c r="Z15" s="64">
        <f t="shared" si="21"/>
        <v>0</v>
      </c>
      <c r="AA15" s="64">
        <f t="shared" si="22"/>
        <v>0</v>
      </c>
      <c r="AB15" s="64">
        <f t="shared" si="23"/>
        <v>1.8395999999999999</v>
      </c>
      <c r="AC15" s="64">
        <f t="shared" si="24"/>
        <v>5.3216999999999999</v>
      </c>
      <c r="AD15" s="64">
        <f t="shared" si="25"/>
        <v>1.9710000000000001</v>
      </c>
      <c r="AE15" s="64">
        <f t="shared" si="26"/>
        <v>0.59130000000000005</v>
      </c>
      <c r="AF15" s="64">
        <f t="shared" si="27"/>
        <v>9.8549999999999999E-2</v>
      </c>
      <c r="AG15" s="65">
        <f t="shared" si="28"/>
        <v>221.93459999999999</v>
      </c>
      <c r="AH15" s="65">
        <f t="shared" si="29"/>
        <v>499.35284999999999</v>
      </c>
      <c r="AI15" s="65">
        <f t="shared" si="30"/>
        <v>221.93459999999999</v>
      </c>
      <c r="AJ15" s="65">
        <f t="shared" si="31"/>
        <v>44.386920000000003</v>
      </c>
      <c r="AK15" s="65">
        <f t="shared" si="32"/>
        <v>7.3978200000000003</v>
      </c>
      <c r="AL15" s="66">
        <v>0.9</v>
      </c>
      <c r="AM15" s="66">
        <v>0.75</v>
      </c>
      <c r="AN15" s="66">
        <v>0.9</v>
      </c>
      <c r="AO15" s="66">
        <v>0.1</v>
      </c>
      <c r="AP15" s="66">
        <v>0.1</v>
      </c>
      <c r="AQ15" s="65">
        <f t="shared" si="33"/>
        <v>200.50982999999999</v>
      </c>
      <c r="AR15" s="65">
        <f t="shared" si="34"/>
        <v>375.59868749999998</v>
      </c>
      <c r="AS15" s="65">
        <f t="shared" si="35"/>
        <v>200.62808999999999</v>
      </c>
      <c r="AT15" s="65">
        <f t="shared" si="36"/>
        <v>4.4584020000000004</v>
      </c>
      <c r="AU15" s="65">
        <f t="shared" si="37"/>
        <v>0.74306700000000003</v>
      </c>
      <c r="AV15" s="65">
        <f t="shared" si="38"/>
        <v>22.278869999999984</v>
      </c>
      <c r="AW15" s="65">
        <f t="shared" si="39"/>
        <v>125.19956250000001</v>
      </c>
      <c r="AX15" s="65">
        <f t="shared" si="40"/>
        <v>22.292010000000005</v>
      </c>
      <c r="AY15" s="65">
        <f t="shared" si="41"/>
        <v>40.125618000000003</v>
      </c>
      <c r="AZ15" s="65">
        <f t="shared" si="42"/>
        <v>6.6876030000000002</v>
      </c>
      <c r="BA15" s="67">
        <f t="shared" si="43"/>
        <v>225.8766</v>
      </c>
      <c r="BB15" s="67">
        <f t="shared" si="44"/>
        <v>508.22235000000001</v>
      </c>
      <c r="BC15" s="67">
        <f t="shared" si="45"/>
        <v>225.8766</v>
      </c>
      <c r="BD15" s="68">
        <f t="shared" si="46"/>
        <v>45.175320000000006</v>
      </c>
      <c r="BE15" s="68">
        <f t="shared" si="47"/>
        <v>7.5292200000000005</v>
      </c>
      <c r="BF15" s="67">
        <f t="shared" si="48"/>
        <v>24.118469999999984</v>
      </c>
      <c r="BG15" s="67">
        <f t="shared" si="49"/>
        <v>130.52126250000001</v>
      </c>
      <c r="BH15" s="67">
        <f t="shared" si="50"/>
        <v>24.263010000000005</v>
      </c>
      <c r="BI15" s="68">
        <f t="shared" si="51"/>
        <v>40.716918</v>
      </c>
      <c r="BJ15" s="68">
        <f t="shared" si="52"/>
        <v>6.7861530000000005</v>
      </c>
      <c r="BK15" s="67">
        <f t="shared" si="53"/>
        <v>201.75812999999999</v>
      </c>
      <c r="BL15" s="67">
        <f t="shared" si="54"/>
        <v>377.70108749999997</v>
      </c>
      <c r="BM15" s="67">
        <f t="shared" si="55"/>
        <v>201.61358999999999</v>
      </c>
      <c r="BN15" s="68">
        <f t="shared" si="56"/>
        <v>4.4584020000000004</v>
      </c>
      <c r="BO15" s="187">
        <f t="shared" si="57"/>
        <v>0.74306700000000003</v>
      </c>
      <c r="BP15" s="157"/>
      <c r="BQ15" s="148"/>
      <c r="BR15" s="148"/>
      <c r="BS15" s="148"/>
      <c r="BT15" s="148"/>
      <c r="BU15" s="150"/>
      <c r="BV15" s="151">
        <f>307160*0.6</f>
        <v>184296</v>
      </c>
      <c r="BW15" s="150">
        <f t="shared" si="80"/>
        <v>193510.8</v>
      </c>
      <c r="BX15" s="150">
        <f t="shared" si="66"/>
        <v>222343.90999999997</v>
      </c>
      <c r="BY15" s="150">
        <f t="shared" si="67"/>
        <v>223233.28999999998</v>
      </c>
      <c r="BZ15" s="155">
        <f t="shared" si="68"/>
        <v>228367.65999999997</v>
      </c>
      <c r="CA15" s="179">
        <f t="shared" si="68"/>
        <v>233620.11999999997</v>
      </c>
      <c r="CB15" s="203">
        <f t="shared" si="58"/>
        <v>22193.911399999997</v>
      </c>
      <c r="CC15" s="198">
        <f t="shared" si="69"/>
        <v>238993.37999999998</v>
      </c>
      <c r="CD15" s="206">
        <f t="shared" si="59"/>
        <v>22704.371099999997</v>
      </c>
      <c r="CE15" s="150">
        <f t="shared" si="70"/>
        <v>244490.22999999998</v>
      </c>
      <c r="CF15" s="206">
        <f t="shared" si="60"/>
        <v>23226.57185</v>
      </c>
      <c r="CG15" s="150">
        <f t="shared" si="71"/>
        <v>250113.50999999998</v>
      </c>
      <c r="CH15" s="206">
        <f t="shared" si="61"/>
        <v>23760.783449999999</v>
      </c>
      <c r="CI15" s="150">
        <f t="shared" si="72"/>
        <v>255866.11999999997</v>
      </c>
      <c r="CJ15" s="206">
        <f t="shared" si="62"/>
        <v>24307.281399999996</v>
      </c>
      <c r="CK15" s="150">
        <f t="shared" si="73"/>
        <v>261751.03999999998</v>
      </c>
      <c r="CL15" s="206">
        <f t="shared" si="63"/>
        <v>24866.3488</v>
      </c>
      <c r="CM15" s="150">
        <f t="shared" si="74"/>
        <v>267771.31</v>
      </c>
      <c r="CN15" s="150">
        <f t="shared" si="75"/>
        <v>273930.05</v>
      </c>
      <c r="CO15" s="157"/>
      <c r="CP15" s="148"/>
      <c r="CQ15" s="148"/>
      <c r="CR15" s="148"/>
      <c r="CS15" s="148"/>
      <c r="CT15" s="148"/>
      <c r="CU15" s="151">
        <v>0</v>
      </c>
      <c r="CV15" s="150">
        <f t="shared" si="81"/>
        <v>0</v>
      </c>
      <c r="CW15" s="150">
        <f t="shared" ref="CW15:DG15" si="85">CV15+ROUND(CV15*CW$6,2)</f>
        <v>0</v>
      </c>
      <c r="CX15" s="150">
        <f t="shared" si="85"/>
        <v>0</v>
      </c>
      <c r="CY15" s="150">
        <f t="shared" si="85"/>
        <v>0</v>
      </c>
      <c r="CZ15" s="155">
        <f t="shared" si="85"/>
        <v>0</v>
      </c>
      <c r="DA15" s="155">
        <f t="shared" si="85"/>
        <v>0</v>
      </c>
      <c r="DB15" s="155">
        <f t="shared" si="85"/>
        <v>0</v>
      </c>
      <c r="DC15" s="155">
        <f t="shared" si="85"/>
        <v>0</v>
      </c>
      <c r="DD15" s="155">
        <f t="shared" si="85"/>
        <v>0</v>
      </c>
      <c r="DE15" s="155">
        <f t="shared" si="85"/>
        <v>0</v>
      </c>
      <c r="DF15" s="155">
        <f t="shared" si="85"/>
        <v>0</v>
      </c>
      <c r="DG15" s="155">
        <f t="shared" si="85"/>
        <v>0</v>
      </c>
      <c r="DH15" s="236">
        <v>0</v>
      </c>
      <c r="DI15" s="243">
        <f t="shared" si="77"/>
        <v>233620.11999999997</v>
      </c>
      <c r="DJ15" s="248">
        <f t="shared" si="65"/>
        <v>1297.8895555555553</v>
      </c>
      <c r="DK15" s="382">
        <f>CA15/'1.piel'!M14</f>
        <v>1297.8895555555553</v>
      </c>
      <c r="DL15">
        <f>DH15/'1.piel'!G14</f>
        <v>0</v>
      </c>
    </row>
    <row r="16" spans="2:116" x14ac:dyDescent="0.25">
      <c r="B16" s="52">
        <v>25</v>
      </c>
      <c r="C16" s="53" t="s">
        <v>78</v>
      </c>
      <c r="D16" s="36" t="s">
        <v>250</v>
      </c>
      <c r="E16" s="110">
        <v>7887</v>
      </c>
      <c r="F16" s="178">
        <v>9068</v>
      </c>
      <c r="G16" s="63">
        <v>625</v>
      </c>
      <c r="H16" s="99">
        <f t="shared" si="4"/>
        <v>9693</v>
      </c>
      <c r="I16" s="94">
        <f t="shared" si="5"/>
        <v>0.77602558447287162</v>
      </c>
      <c r="J16" s="172">
        <v>7037</v>
      </c>
      <c r="K16" s="98">
        <f t="shared" si="6"/>
        <v>0.22397441552712835</v>
      </c>
      <c r="L16" s="99">
        <f t="shared" si="7"/>
        <v>2031</v>
      </c>
      <c r="M16" s="174">
        <f t="shared" si="8"/>
        <v>44.478900000000003</v>
      </c>
      <c r="N16" s="64">
        <f t="shared" si="9"/>
        <v>100.07752499999999</v>
      </c>
      <c r="O16" s="64">
        <f t="shared" si="10"/>
        <v>44.478900000000003</v>
      </c>
      <c r="P16" s="64">
        <f t="shared" si="11"/>
        <v>8.8957800000000002</v>
      </c>
      <c r="Q16" s="64">
        <f t="shared" si="12"/>
        <v>1.4826299999999999</v>
      </c>
      <c r="R16" s="64">
        <f t="shared" si="13"/>
        <v>9.6370950000000004</v>
      </c>
      <c r="S16" s="64">
        <f t="shared" si="14"/>
        <v>16.30893</v>
      </c>
      <c r="T16" s="64">
        <f t="shared" si="15"/>
        <v>11.119725000000001</v>
      </c>
      <c r="U16" s="64">
        <f t="shared" si="16"/>
        <v>2.2239450000000001</v>
      </c>
      <c r="V16" s="64">
        <f t="shared" si="17"/>
        <v>0.37065749999999997</v>
      </c>
      <c r="W16" s="64">
        <f t="shared" si="18"/>
        <v>14.084985</v>
      </c>
      <c r="X16" s="64">
        <f t="shared" si="19"/>
        <v>23.722079999999998</v>
      </c>
      <c r="Y16" s="64">
        <f t="shared" si="20"/>
        <v>11.119725000000001</v>
      </c>
      <c r="Z16" s="64">
        <f t="shared" si="21"/>
        <v>0</v>
      </c>
      <c r="AA16" s="64">
        <f t="shared" si="22"/>
        <v>0</v>
      </c>
      <c r="AB16" s="64">
        <f t="shared" si="23"/>
        <v>20.756820000000001</v>
      </c>
      <c r="AC16" s="64">
        <f t="shared" si="24"/>
        <v>60.046514999999999</v>
      </c>
      <c r="AD16" s="64">
        <f t="shared" si="25"/>
        <v>22.239450000000001</v>
      </c>
      <c r="AE16" s="64">
        <f t="shared" si="26"/>
        <v>6.6718349999999997</v>
      </c>
      <c r="AF16" s="64">
        <f t="shared" si="27"/>
        <v>1.1119725</v>
      </c>
      <c r="AG16" s="65">
        <f t="shared" si="28"/>
        <v>167.7978</v>
      </c>
      <c r="AH16" s="65">
        <f t="shared" si="29"/>
        <v>377.54505</v>
      </c>
      <c r="AI16" s="65">
        <f t="shared" si="30"/>
        <v>167.7978</v>
      </c>
      <c r="AJ16" s="65">
        <f t="shared" si="31"/>
        <v>33.559559999999998</v>
      </c>
      <c r="AK16" s="65">
        <f t="shared" si="32"/>
        <v>5.5932599999999999</v>
      </c>
      <c r="AL16" s="66">
        <v>0.9</v>
      </c>
      <c r="AM16" s="66">
        <v>0.75</v>
      </c>
      <c r="AN16" s="66">
        <v>0.9</v>
      </c>
      <c r="AO16" s="66">
        <v>0.1</v>
      </c>
      <c r="AP16" s="66">
        <v>0.1</v>
      </c>
      <c r="AQ16" s="65">
        <f t="shared" si="33"/>
        <v>159.6914055</v>
      </c>
      <c r="AR16" s="65">
        <f t="shared" si="34"/>
        <v>295.39048500000001</v>
      </c>
      <c r="AS16" s="65">
        <f t="shared" si="35"/>
        <v>161.02577249999999</v>
      </c>
      <c r="AT16" s="65">
        <f t="shared" si="36"/>
        <v>3.5783505</v>
      </c>
      <c r="AU16" s="65">
        <f t="shared" si="37"/>
        <v>0.59639175</v>
      </c>
      <c r="AV16" s="65">
        <f t="shared" si="38"/>
        <v>17.743489499999981</v>
      </c>
      <c r="AW16" s="65">
        <f t="shared" si="39"/>
        <v>98.463494999999966</v>
      </c>
      <c r="AX16" s="65">
        <f t="shared" si="40"/>
        <v>17.891752499999996</v>
      </c>
      <c r="AY16" s="65">
        <f t="shared" si="41"/>
        <v>32.205154499999999</v>
      </c>
      <c r="AZ16" s="65">
        <f t="shared" si="42"/>
        <v>5.3675257500000004</v>
      </c>
      <c r="BA16" s="67">
        <f t="shared" si="43"/>
        <v>212.27670000000001</v>
      </c>
      <c r="BB16" s="67">
        <f t="shared" si="44"/>
        <v>477.62257499999998</v>
      </c>
      <c r="BC16" s="67">
        <f t="shared" si="45"/>
        <v>212.27670000000001</v>
      </c>
      <c r="BD16" s="68">
        <f t="shared" si="46"/>
        <v>42.45534</v>
      </c>
      <c r="BE16" s="68">
        <f t="shared" si="47"/>
        <v>7.0758899999999993</v>
      </c>
      <c r="BF16" s="67">
        <f t="shared" si="48"/>
        <v>38.500309499999986</v>
      </c>
      <c r="BG16" s="67">
        <f t="shared" si="49"/>
        <v>158.51000999999997</v>
      </c>
      <c r="BH16" s="67">
        <f t="shared" si="50"/>
        <v>40.131202500000001</v>
      </c>
      <c r="BI16" s="68">
        <f t="shared" si="51"/>
        <v>38.876989500000001</v>
      </c>
      <c r="BJ16" s="68">
        <f t="shared" si="52"/>
        <v>6.4794982500000007</v>
      </c>
      <c r="BK16" s="67">
        <f t="shared" si="53"/>
        <v>173.77639049999999</v>
      </c>
      <c r="BL16" s="67">
        <f t="shared" si="54"/>
        <v>319.11256500000002</v>
      </c>
      <c r="BM16" s="67">
        <f t="shared" si="55"/>
        <v>172.14549749999998</v>
      </c>
      <c r="BN16" s="68">
        <f t="shared" si="56"/>
        <v>3.5783505</v>
      </c>
      <c r="BO16" s="187">
        <f t="shared" si="57"/>
        <v>0.59639175</v>
      </c>
      <c r="BP16" s="157"/>
      <c r="BQ16" s="148"/>
      <c r="BR16" s="148"/>
      <c r="BS16" s="148"/>
      <c r="BT16" s="148"/>
      <c r="BU16" s="150"/>
      <c r="BV16" s="151">
        <v>1183705</v>
      </c>
      <c r="BW16" s="150">
        <f t="shared" si="80"/>
        <v>1242890.25</v>
      </c>
      <c r="BX16" s="150">
        <f t="shared" si="66"/>
        <v>1428080.9</v>
      </c>
      <c r="BY16" s="150">
        <f t="shared" si="67"/>
        <v>1433793.22</v>
      </c>
      <c r="BZ16" s="155">
        <f t="shared" si="68"/>
        <v>1466770.46</v>
      </c>
      <c r="CA16" s="179">
        <f t="shared" si="68"/>
        <v>1500506.18</v>
      </c>
      <c r="CB16" s="203">
        <f t="shared" si="58"/>
        <v>142548.0871</v>
      </c>
      <c r="CC16" s="198">
        <f t="shared" si="69"/>
        <v>1535017.8199999998</v>
      </c>
      <c r="CD16" s="206">
        <f t="shared" si="59"/>
        <v>145826.69289999999</v>
      </c>
      <c r="CE16" s="150">
        <f t="shared" si="70"/>
        <v>1570323.2299999997</v>
      </c>
      <c r="CF16" s="206">
        <f t="shared" si="60"/>
        <v>149180.70684999999</v>
      </c>
      <c r="CG16" s="150">
        <f t="shared" si="71"/>
        <v>1606440.6599999997</v>
      </c>
      <c r="CH16" s="206">
        <f t="shared" si="61"/>
        <v>152611.86269999997</v>
      </c>
      <c r="CI16" s="150">
        <f t="shared" si="72"/>
        <v>1643388.7999999996</v>
      </c>
      <c r="CJ16" s="206">
        <f t="shared" si="62"/>
        <v>156121.93599999996</v>
      </c>
      <c r="CK16" s="150">
        <f t="shared" si="73"/>
        <v>1681186.7399999995</v>
      </c>
      <c r="CL16" s="206">
        <f t="shared" si="63"/>
        <v>159712.74029999995</v>
      </c>
      <c r="CM16" s="150">
        <f t="shared" si="74"/>
        <v>1719854.0399999996</v>
      </c>
      <c r="CN16" s="150">
        <f t="shared" si="75"/>
        <v>1759410.6799999995</v>
      </c>
      <c r="CO16" s="157"/>
      <c r="CP16" s="148"/>
      <c r="CQ16" s="148"/>
      <c r="CR16" s="148"/>
      <c r="CS16" s="148"/>
      <c r="CT16" s="148"/>
      <c r="CU16" s="151">
        <v>584030</v>
      </c>
      <c r="CV16" s="150">
        <f t="shared" si="81"/>
        <v>613231.5</v>
      </c>
      <c r="CW16" s="150">
        <f t="shared" ref="CW16:DG16" si="86">CV16+ROUND(CV16*CW$6,2)</f>
        <v>704602.99</v>
      </c>
      <c r="CX16" s="150">
        <f t="shared" si="86"/>
        <v>707421.4</v>
      </c>
      <c r="CY16" s="150">
        <f t="shared" si="86"/>
        <v>723692.09</v>
      </c>
      <c r="CZ16" s="155">
        <f t="shared" si="86"/>
        <v>741784.39</v>
      </c>
      <c r="DA16" s="155">
        <f t="shared" si="86"/>
        <v>760329</v>
      </c>
      <c r="DB16" s="155">
        <f t="shared" si="86"/>
        <v>779337.23</v>
      </c>
      <c r="DC16" s="155">
        <f t="shared" si="86"/>
        <v>798820.66</v>
      </c>
      <c r="DD16" s="155">
        <f t="shared" si="86"/>
        <v>818791.18</v>
      </c>
      <c r="DE16" s="155">
        <f t="shared" si="86"/>
        <v>839260.96000000008</v>
      </c>
      <c r="DF16" s="155">
        <f t="shared" si="86"/>
        <v>860242.4800000001</v>
      </c>
      <c r="DG16" s="155">
        <f t="shared" si="86"/>
        <v>881748.54000000015</v>
      </c>
      <c r="DH16" s="236">
        <v>0</v>
      </c>
      <c r="DI16" s="243">
        <f t="shared" si="77"/>
        <v>1500506.18</v>
      </c>
      <c r="DJ16" s="248">
        <f t="shared" si="65"/>
        <v>738.80166420482522</v>
      </c>
      <c r="DK16" s="382">
        <f>CA16/'1.piel'!M15</f>
        <v>738.80166420482522</v>
      </c>
      <c r="DL16">
        <f>DH16/'1.piel'!G15</f>
        <v>0</v>
      </c>
    </row>
    <row r="17" spans="2:117" x14ac:dyDescent="0.25">
      <c r="B17" s="52">
        <v>26</v>
      </c>
      <c r="C17" s="53" t="s">
        <v>130</v>
      </c>
      <c r="D17" s="36" t="s">
        <v>250</v>
      </c>
      <c r="E17" s="110">
        <v>7817</v>
      </c>
      <c r="F17" s="178">
        <v>9763</v>
      </c>
      <c r="G17" s="63">
        <v>1406</v>
      </c>
      <c r="H17" s="99">
        <f t="shared" si="4"/>
        <v>11169</v>
      </c>
      <c r="I17" s="94">
        <f t="shared" si="5"/>
        <v>1</v>
      </c>
      <c r="J17" s="89">
        <v>9763</v>
      </c>
      <c r="K17" s="98">
        <f t="shared" si="6"/>
        <v>0</v>
      </c>
      <c r="L17" s="99">
        <f t="shared" si="7"/>
        <v>0</v>
      </c>
      <c r="M17" s="174">
        <f t="shared" si="8"/>
        <v>0</v>
      </c>
      <c r="N17" s="64">
        <f t="shared" si="9"/>
        <v>0</v>
      </c>
      <c r="O17" s="64">
        <f t="shared" si="10"/>
        <v>0</v>
      </c>
      <c r="P17" s="64">
        <f t="shared" si="11"/>
        <v>0</v>
      </c>
      <c r="Q17" s="64">
        <f t="shared" si="12"/>
        <v>0</v>
      </c>
      <c r="R17" s="64">
        <f t="shared" si="13"/>
        <v>0</v>
      </c>
      <c r="S17" s="64">
        <f t="shared" si="14"/>
        <v>0</v>
      </c>
      <c r="T17" s="64">
        <f t="shared" si="15"/>
        <v>0</v>
      </c>
      <c r="U17" s="64">
        <f t="shared" si="16"/>
        <v>0</v>
      </c>
      <c r="V17" s="64">
        <f t="shared" si="17"/>
        <v>0</v>
      </c>
      <c r="W17" s="64">
        <f t="shared" si="18"/>
        <v>0</v>
      </c>
      <c r="X17" s="64">
        <f t="shared" si="19"/>
        <v>0</v>
      </c>
      <c r="Y17" s="64">
        <f t="shared" si="20"/>
        <v>0</v>
      </c>
      <c r="Z17" s="64">
        <f t="shared" si="21"/>
        <v>0</v>
      </c>
      <c r="AA17" s="64">
        <f t="shared" si="22"/>
        <v>0</v>
      </c>
      <c r="AB17" s="64">
        <f t="shared" si="23"/>
        <v>0</v>
      </c>
      <c r="AC17" s="64">
        <f t="shared" si="24"/>
        <v>0</v>
      </c>
      <c r="AD17" s="64">
        <f t="shared" si="25"/>
        <v>0</v>
      </c>
      <c r="AE17" s="64">
        <f t="shared" si="26"/>
        <v>0</v>
      </c>
      <c r="AF17" s="64">
        <f t="shared" si="27"/>
        <v>0</v>
      </c>
      <c r="AG17" s="65">
        <f t="shared" si="28"/>
        <v>244.6011</v>
      </c>
      <c r="AH17" s="65">
        <f t="shared" si="29"/>
        <v>550.35247500000003</v>
      </c>
      <c r="AI17" s="65">
        <f t="shared" si="30"/>
        <v>244.6011</v>
      </c>
      <c r="AJ17" s="65">
        <f t="shared" si="31"/>
        <v>48.92022</v>
      </c>
      <c r="AK17" s="65">
        <f t="shared" si="32"/>
        <v>8.1533700000000007</v>
      </c>
      <c r="AL17" s="66">
        <v>0.9</v>
      </c>
      <c r="AM17" s="66">
        <v>0.75</v>
      </c>
      <c r="AN17" s="66">
        <v>0.9</v>
      </c>
      <c r="AO17" s="66">
        <v>0.1</v>
      </c>
      <c r="AP17" s="66">
        <v>0.1</v>
      </c>
      <c r="AQ17" s="65">
        <f t="shared" si="33"/>
        <v>220.14099000000002</v>
      </c>
      <c r="AR17" s="65">
        <f t="shared" si="34"/>
        <v>412.76435624999999</v>
      </c>
      <c r="AS17" s="65">
        <f t="shared" si="35"/>
        <v>220.14099000000002</v>
      </c>
      <c r="AT17" s="65">
        <f t="shared" si="36"/>
        <v>4.8920220000000008</v>
      </c>
      <c r="AU17" s="65">
        <f t="shared" si="37"/>
        <v>0.81533700000000009</v>
      </c>
      <c r="AV17" s="65">
        <f t="shared" si="38"/>
        <v>24.460109999999986</v>
      </c>
      <c r="AW17" s="65">
        <f t="shared" si="39"/>
        <v>137.58811875000004</v>
      </c>
      <c r="AX17" s="65">
        <f t="shared" si="40"/>
        <v>24.460109999999986</v>
      </c>
      <c r="AY17" s="65">
        <f t="shared" si="41"/>
        <v>44.028198000000003</v>
      </c>
      <c r="AZ17" s="65">
        <f t="shared" si="42"/>
        <v>7.3380330000000002</v>
      </c>
      <c r="BA17" s="67">
        <f t="shared" si="43"/>
        <v>244.6011</v>
      </c>
      <c r="BB17" s="67">
        <f t="shared" si="44"/>
        <v>550.35247500000003</v>
      </c>
      <c r="BC17" s="67">
        <f t="shared" si="45"/>
        <v>244.6011</v>
      </c>
      <c r="BD17" s="68">
        <f t="shared" si="46"/>
        <v>48.92022</v>
      </c>
      <c r="BE17" s="68">
        <f t="shared" si="47"/>
        <v>8.1533700000000007</v>
      </c>
      <c r="BF17" s="67">
        <f t="shared" si="48"/>
        <v>24.460109999999986</v>
      </c>
      <c r="BG17" s="67">
        <f t="shared" si="49"/>
        <v>137.58811875000004</v>
      </c>
      <c r="BH17" s="67">
        <f t="shared" si="50"/>
        <v>24.460109999999986</v>
      </c>
      <c r="BI17" s="68">
        <f t="shared" si="51"/>
        <v>44.028198000000003</v>
      </c>
      <c r="BJ17" s="68">
        <f t="shared" si="52"/>
        <v>7.3380330000000002</v>
      </c>
      <c r="BK17" s="67">
        <f t="shared" si="53"/>
        <v>220.14099000000002</v>
      </c>
      <c r="BL17" s="67">
        <f t="shared" si="54"/>
        <v>412.76435624999999</v>
      </c>
      <c r="BM17" s="67">
        <f t="shared" si="55"/>
        <v>220.14099000000002</v>
      </c>
      <c r="BN17" s="68">
        <f t="shared" si="56"/>
        <v>4.8920220000000008</v>
      </c>
      <c r="BO17" s="187">
        <f t="shared" si="57"/>
        <v>0.81533700000000009</v>
      </c>
      <c r="BP17" s="157"/>
      <c r="BQ17" s="148"/>
      <c r="BR17" s="148"/>
      <c r="BS17" s="148"/>
      <c r="BT17" s="148"/>
      <c r="BU17" s="150"/>
      <c r="BV17" s="151">
        <v>0</v>
      </c>
      <c r="BW17" s="150">
        <f t="shared" si="80"/>
        <v>0</v>
      </c>
      <c r="BX17" s="150">
        <f t="shared" si="66"/>
        <v>0</v>
      </c>
      <c r="BY17" s="150">
        <f t="shared" si="67"/>
        <v>0</v>
      </c>
      <c r="BZ17" s="155">
        <f t="shared" si="68"/>
        <v>0</v>
      </c>
      <c r="CA17" s="179">
        <f t="shared" si="68"/>
        <v>0</v>
      </c>
      <c r="CB17" s="203">
        <f t="shared" si="58"/>
        <v>0</v>
      </c>
      <c r="CC17" s="198">
        <f t="shared" si="69"/>
        <v>0</v>
      </c>
      <c r="CD17" s="206">
        <f t="shared" si="59"/>
        <v>0</v>
      </c>
      <c r="CE17" s="150">
        <f t="shared" si="70"/>
        <v>0</v>
      </c>
      <c r="CF17" s="206">
        <f t="shared" si="60"/>
        <v>0</v>
      </c>
      <c r="CG17" s="150">
        <f t="shared" si="71"/>
        <v>0</v>
      </c>
      <c r="CH17" s="206">
        <f t="shared" si="61"/>
        <v>0</v>
      </c>
      <c r="CI17" s="150">
        <f t="shared" si="72"/>
        <v>0</v>
      </c>
      <c r="CJ17" s="206">
        <f t="shared" si="62"/>
        <v>0</v>
      </c>
      <c r="CK17" s="150">
        <f t="shared" si="73"/>
        <v>0</v>
      </c>
      <c r="CL17" s="206">
        <f t="shared" si="63"/>
        <v>0</v>
      </c>
      <c r="CM17" s="150">
        <f t="shared" si="74"/>
        <v>0</v>
      </c>
      <c r="CN17" s="150">
        <f t="shared" si="75"/>
        <v>0</v>
      </c>
      <c r="CO17" s="157"/>
      <c r="CP17" s="148"/>
      <c r="CQ17" s="148"/>
      <c r="CR17" s="148"/>
      <c r="CS17" s="148"/>
      <c r="CT17" s="148"/>
      <c r="CU17" s="151">
        <v>0</v>
      </c>
      <c r="CV17" s="150">
        <f t="shared" si="81"/>
        <v>0</v>
      </c>
      <c r="CW17" s="150">
        <f t="shared" ref="CW17:DG17" si="87">CV17+ROUND(CV17*CW$6,2)</f>
        <v>0</v>
      </c>
      <c r="CX17" s="150">
        <f t="shared" si="87"/>
        <v>0</v>
      </c>
      <c r="CY17" s="150">
        <f t="shared" si="87"/>
        <v>0</v>
      </c>
      <c r="CZ17" s="155">
        <f t="shared" si="87"/>
        <v>0</v>
      </c>
      <c r="DA17" s="155">
        <f t="shared" si="87"/>
        <v>0</v>
      </c>
      <c r="DB17" s="155">
        <f t="shared" si="87"/>
        <v>0</v>
      </c>
      <c r="DC17" s="155">
        <f t="shared" si="87"/>
        <v>0</v>
      </c>
      <c r="DD17" s="155">
        <f t="shared" si="87"/>
        <v>0</v>
      </c>
      <c r="DE17" s="155">
        <f t="shared" si="87"/>
        <v>0</v>
      </c>
      <c r="DF17" s="155">
        <f t="shared" si="87"/>
        <v>0</v>
      </c>
      <c r="DG17" s="155">
        <f t="shared" si="87"/>
        <v>0</v>
      </c>
      <c r="DH17" s="236">
        <v>0</v>
      </c>
      <c r="DI17" s="243">
        <f t="shared" si="77"/>
        <v>0</v>
      </c>
      <c r="DJ17" s="248">
        <f t="shared" si="65"/>
        <v>0</v>
      </c>
      <c r="DK17" s="382">
        <v>0</v>
      </c>
      <c r="DL17">
        <f>DH17/'1.piel'!G16</f>
        <v>0</v>
      </c>
    </row>
    <row r="18" spans="2:117" x14ac:dyDescent="0.25">
      <c r="B18" s="52">
        <v>28</v>
      </c>
      <c r="C18" s="53" t="s">
        <v>68</v>
      </c>
      <c r="D18" s="36" t="s">
        <v>250</v>
      </c>
      <c r="E18" s="110">
        <v>7667</v>
      </c>
      <c r="F18" s="178">
        <v>8983</v>
      </c>
      <c r="G18" s="36">
        <v>87</v>
      </c>
      <c r="H18" s="99">
        <f t="shared" si="4"/>
        <v>9070</v>
      </c>
      <c r="I18" s="94">
        <f t="shared" si="5"/>
        <v>1</v>
      </c>
      <c r="J18" s="89">
        <v>8983</v>
      </c>
      <c r="K18" s="98">
        <f t="shared" si="6"/>
        <v>0</v>
      </c>
      <c r="L18" s="99">
        <f t="shared" si="7"/>
        <v>0</v>
      </c>
      <c r="M18" s="174">
        <f t="shared" si="8"/>
        <v>0</v>
      </c>
      <c r="N18" s="64">
        <f t="shared" si="9"/>
        <v>0</v>
      </c>
      <c r="O18" s="64">
        <f t="shared" si="10"/>
        <v>0</v>
      </c>
      <c r="P18" s="64">
        <f t="shared" si="11"/>
        <v>0</v>
      </c>
      <c r="Q18" s="64">
        <f t="shared" si="12"/>
        <v>0</v>
      </c>
      <c r="R18" s="64">
        <f t="shared" si="13"/>
        <v>0</v>
      </c>
      <c r="S18" s="64">
        <f t="shared" si="14"/>
        <v>0</v>
      </c>
      <c r="T18" s="64">
        <f t="shared" si="15"/>
        <v>0</v>
      </c>
      <c r="U18" s="64">
        <f t="shared" si="16"/>
        <v>0</v>
      </c>
      <c r="V18" s="64">
        <f t="shared" si="17"/>
        <v>0</v>
      </c>
      <c r="W18" s="64">
        <f t="shared" si="18"/>
        <v>0</v>
      </c>
      <c r="X18" s="64">
        <f t="shared" si="19"/>
        <v>0</v>
      </c>
      <c r="Y18" s="64">
        <f t="shared" si="20"/>
        <v>0</v>
      </c>
      <c r="Z18" s="64">
        <f t="shared" si="21"/>
        <v>0</v>
      </c>
      <c r="AA18" s="64">
        <f t="shared" si="22"/>
        <v>0</v>
      </c>
      <c r="AB18" s="64">
        <f t="shared" si="23"/>
        <v>0</v>
      </c>
      <c r="AC18" s="64">
        <f t="shared" si="24"/>
        <v>0</v>
      </c>
      <c r="AD18" s="64">
        <f t="shared" si="25"/>
        <v>0</v>
      </c>
      <c r="AE18" s="64">
        <f t="shared" si="26"/>
        <v>0</v>
      </c>
      <c r="AF18" s="64">
        <f t="shared" si="27"/>
        <v>0</v>
      </c>
      <c r="AG18" s="65">
        <f t="shared" si="28"/>
        <v>198.63300000000001</v>
      </c>
      <c r="AH18" s="65">
        <f t="shared" si="29"/>
        <v>446.92424999999997</v>
      </c>
      <c r="AI18" s="65">
        <f t="shared" si="30"/>
        <v>198.63300000000001</v>
      </c>
      <c r="AJ18" s="65">
        <f t="shared" si="31"/>
        <v>39.726599999999998</v>
      </c>
      <c r="AK18" s="65">
        <f t="shared" si="32"/>
        <v>6.6211000000000002</v>
      </c>
      <c r="AL18" s="66">
        <v>0.9</v>
      </c>
      <c r="AM18" s="66">
        <v>0.75</v>
      </c>
      <c r="AN18" s="66">
        <v>0.9</v>
      </c>
      <c r="AO18" s="66">
        <v>0.1</v>
      </c>
      <c r="AP18" s="66">
        <v>0.1</v>
      </c>
      <c r="AQ18" s="65">
        <f t="shared" si="33"/>
        <v>178.7697</v>
      </c>
      <c r="AR18" s="65">
        <f t="shared" si="34"/>
        <v>335.19318749999996</v>
      </c>
      <c r="AS18" s="65">
        <f t="shared" si="35"/>
        <v>178.7697</v>
      </c>
      <c r="AT18" s="65">
        <f t="shared" si="36"/>
        <v>3.9726599999999999</v>
      </c>
      <c r="AU18" s="65">
        <f t="shared" si="37"/>
        <v>0.66211000000000009</v>
      </c>
      <c r="AV18" s="65">
        <f t="shared" si="38"/>
        <v>19.86330000000001</v>
      </c>
      <c r="AW18" s="65">
        <f t="shared" si="39"/>
        <v>111.73106250000001</v>
      </c>
      <c r="AX18" s="65">
        <f t="shared" si="40"/>
        <v>19.86330000000001</v>
      </c>
      <c r="AY18" s="65">
        <f t="shared" si="41"/>
        <v>35.75394</v>
      </c>
      <c r="AZ18" s="65">
        <f t="shared" si="42"/>
        <v>5.95899</v>
      </c>
      <c r="BA18" s="67">
        <f t="shared" si="43"/>
        <v>198.63300000000001</v>
      </c>
      <c r="BB18" s="67">
        <f t="shared" si="44"/>
        <v>446.92424999999997</v>
      </c>
      <c r="BC18" s="67">
        <f t="shared" si="45"/>
        <v>198.63300000000001</v>
      </c>
      <c r="BD18" s="68">
        <f t="shared" si="46"/>
        <v>39.726599999999998</v>
      </c>
      <c r="BE18" s="68">
        <f t="shared" si="47"/>
        <v>6.6211000000000002</v>
      </c>
      <c r="BF18" s="67">
        <f t="shared" si="48"/>
        <v>19.86330000000001</v>
      </c>
      <c r="BG18" s="67">
        <f t="shared" si="49"/>
        <v>111.73106250000001</v>
      </c>
      <c r="BH18" s="67">
        <f t="shared" si="50"/>
        <v>19.86330000000001</v>
      </c>
      <c r="BI18" s="68">
        <f t="shared" si="51"/>
        <v>35.75394</v>
      </c>
      <c r="BJ18" s="68">
        <f t="shared" si="52"/>
        <v>5.95899</v>
      </c>
      <c r="BK18" s="67">
        <f t="shared" si="53"/>
        <v>178.7697</v>
      </c>
      <c r="BL18" s="67">
        <f t="shared" si="54"/>
        <v>335.19318749999996</v>
      </c>
      <c r="BM18" s="67">
        <f t="shared" si="55"/>
        <v>178.7697</v>
      </c>
      <c r="BN18" s="68">
        <f t="shared" si="56"/>
        <v>3.9726599999999999</v>
      </c>
      <c r="BO18" s="187">
        <f t="shared" si="57"/>
        <v>0.66211000000000009</v>
      </c>
      <c r="BP18" s="157"/>
      <c r="BQ18" s="148"/>
      <c r="BR18" s="148"/>
      <c r="BS18" s="148"/>
      <c r="BT18" s="148"/>
      <c r="BU18" s="148"/>
      <c r="BV18" s="151">
        <v>0</v>
      </c>
      <c r="BW18" s="150">
        <f t="shared" si="80"/>
        <v>0</v>
      </c>
      <c r="BX18" s="150">
        <f t="shared" si="66"/>
        <v>0</v>
      </c>
      <c r="BY18" s="150">
        <f t="shared" si="67"/>
        <v>0</v>
      </c>
      <c r="BZ18" s="155">
        <f t="shared" si="68"/>
        <v>0</v>
      </c>
      <c r="CA18" s="179">
        <f t="shared" si="68"/>
        <v>0</v>
      </c>
      <c r="CB18" s="203">
        <f t="shared" si="58"/>
        <v>0</v>
      </c>
      <c r="CC18" s="198">
        <f t="shared" si="69"/>
        <v>0</v>
      </c>
      <c r="CD18" s="206">
        <f t="shared" si="59"/>
        <v>0</v>
      </c>
      <c r="CE18" s="150">
        <f t="shared" si="70"/>
        <v>0</v>
      </c>
      <c r="CF18" s="206">
        <f t="shared" si="60"/>
        <v>0</v>
      </c>
      <c r="CG18" s="150">
        <f t="shared" si="71"/>
        <v>0</v>
      </c>
      <c r="CH18" s="206">
        <f t="shared" si="61"/>
        <v>0</v>
      </c>
      <c r="CI18" s="150">
        <f t="shared" si="72"/>
        <v>0</v>
      </c>
      <c r="CJ18" s="206">
        <f t="shared" si="62"/>
        <v>0</v>
      </c>
      <c r="CK18" s="150">
        <f t="shared" si="73"/>
        <v>0</v>
      </c>
      <c r="CL18" s="206">
        <f t="shared" si="63"/>
        <v>0</v>
      </c>
      <c r="CM18" s="150">
        <f t="shared" si="74"/>
        <v>0</v>
      </c>
      <c r="CN18" s="150">
        <f t="shared" si="75"/>
        <v>0</v>
      </c>
      <c r="CO18" s="157"/>
      <c r="CP18" s="148"/>
      <c r="CQ18" s="148"/>
      <c r="CR18" s="148"/>
      <c r="CS18" s="148"/>
      <c r="CT18" s="148"/>
      <c r="CU18" s="151">
        <v>0</v>
      </c>
      <c r="CV18" s="150">
        <f t="shared" si="81"/>
        <v>0</v>
      </c>
      <c r="CW18" s="150">
        <f t="shared" ref="CW18:DG18" si="88">CV18+ROUND(CV18*CW$6,2)</f>
        <v>0</v>
      </c>
      <c r="CX18" s="150">
        <f t="shared" si="88"/>
        <v>0</v>
      </c>
      <c r="CY18" s="150">
        <f t="shared" si="88"/>
        <v>0</v>
      </c>
      <c r="CZ18" s="155">
        <f t="shared" si="88"/>
        <v>0</v>
      </c>
      <c r="DA18" s="155">
        <f t="shared" si="88"/>
        <v>0</v>
      </c>
      <c r="DB18" s="155">
        <f t="shared" si="88"/>
        <v>0</v>
      </c>
      <c r="DC18" s="155">
        <f t="shared" si="88"/>
        <v>0</v>
      </c>
      <c r="DD18" s="155">
        <f t="shared" si="88"/>
        <v>0</v>
      </c>
      <c r="DE18" s="155">
        <f t="shared" si="88"/>
        <v>0</v>
      </c>
      <c r="DF18" s="155">
        <f t="shared" si="88"/>
        <v>0</v>
      </c>
      <c r="DG18" s="155">
        <f t="shared" si="88"/>
        <v>0</v>
      </c>
      <c r="DH18" s="236">
        <v>0</v>
      </c>
      <c r="DI18" s="243">
        <f t="shared" si="77"/>
        <v>0</v>
      </c>
      <c r="DJ18" s="248">
        <f t="shared" si="65"/>
        <v>0</v>
      </c>
      <c r="DK18" s="382">
        <v>0</v>
      </c>
      <c r="DL18">
        <f>DH18/'1.piel'!G17</f>
        <v>0</v>
      </c>
    </row>
    <row r="19" spans="2:117" x14ac:dyDescent="0.25">
      <c r="B19" s="52">
        <v>30</v>
      </c>
      <c r="C19" s="53" t="s">
        <v>70</v>
      </c>
      <c r="D19" s="36" t="s">
        <v>250</v>
      </c>
      <c r="E19" s="110">
        <v>7079</v>
      </c>
      <c r="F19" s="178">
        <v>7748</v>
      </c>
      <c r="G19" s="36">
        <v>360</v>
      </c>
      <c r="H19" s="99">
        <f t="shared" si="4"/>
        <v>8108</v>
      </c>
      <c r="I19" s="94">
        <f t="shared" si="5"/>
        <v>1</v>
      </c>
      <c r="J19" s="89">
        <v>7748</v>
      </c>
      <c r="K19" s="98">
        <f t="shared" si="6"/>
        <v>0</v>
      </c>
      <c r="L19" s="99">
        <f t="shared" si="7"/>
        <v>0</v>
      </c>
      <c r="M19" s="174">
        <f t="shared" si="8"/>
        <v>0</v>
      </c>
      <c r="N19" s="64">
        <f t="shared" si="9"/>
        <v>0</v>
      </c>
      <c r="O19" s="64">
        <f t="shared" si="10"/>
        <v>0</v>
      </c>
      <c r="P19" s="64">
        <f t="shared" si="11"/>
        <v>0</v>
      </c>
      <c r="Q19" s="64">
        <f t="shared" si="12"/>
        <v>0</v>
      </c>
      <c r="R19" s="64">
        <f t="shared" si="13"/>
        <v>0</v>
      </c>
      <c r="S19" s="64">
        <f t="shared" si="14"/>
        <v>0</v>
      </c>
      <c r="T19" s="64">
        <f t="shared" si="15"/>
        <v>0</v>
      </c>
      <c r="U19" s="64">
        <f t="shared" si="16"/>
        <v>0</v>
      </c>
      <c r="V19" s="64">
        <f t="shared" si="17"/>
        <v>0</v>
      </c>
      <c r="W19" s="64">
        <f t="shared" si="18"/>
        <v>0</v>
      </c>
      <c r="X19" s="64">
        <f t="shared" si="19"/>
        <v>0</v>
      </c>
      <c r="Y19" s="64">
        <f t="shared" si="20"/>
        <v>0</v>
      </c>
      <c r="Z19" s="64">
        <f t="shared" si="21"/>
        <v>0</v>
      </c>
      <c r="AA19" s="64">
        <f t="shared" si="22"/>
        <v>0</v>
      </c>
      <c r="AB19" s="64">
        <f t="shared" si="23"/>
        <v>0</v>
      </c>
      <c r="AC19" s="64">
        <f t="shared" si="24"/>
        <v>0</v>
      </c>
      <c r="AD19" s="64">
        <f t="shared" si="25"/>
        <v>0</v>
      </c>
      <c r="AE19" s="64">
        <f t="shared" si="26"/>
        <v>0</v>
      </c>
      <c r="AF19" s="64">
        <f t="shared" si="27"/>
        <v>0</v>
      </c>
      <c r="AG19" s="65">
        <f t="shared" si="28"/>
        <v>177.5652</v>
      </c>
      <c r="AH19" s="65">
        <f t="shared" si="29"/>
        <v>399.52170000000001</v>
      </c>
      <c r="AI19" s="65">
        <f t="shared" si="30"/>
        <v>177.5652</v>
      </c>
      <c r="AJ19" s="65">
        <f t="shared" si="31"/>
        <v>35.513039999999997</v>
      </c>
      <c r="AK19" s="65">
        <f t="shared" si="32"/>
        <v>5.9188400000000003</v>
      </c>
      <c r="AL19" s="66">
        <v>0.9</v>
      </c>
      <c r="AM19" s="66">
        <v>0.75</v>
      </c>
      <c r="AN19" s="66">
        <v>0.9</v>
      </c>
      <c r="AO19" s="66">
        <v>0.1</v>
      </c>
      <c r="AP19" s="66">
        <v>0.1</v>
      </c>
      <c r="AQ19" s="65">
        <f t="shared" si="33"/>
        <v>159.80868000000001</v>
      </c>
      <c r="AR19" s="65">
        <f t="shared" si="34"/>
        <v>299.64127500000001</v>
      </c>
      <c r="AS19" s="65">
        <f t="shared" si="35"/>
        <v>159.80868000000001</v>
      </c>
      <c r="AT19" s="65">
        <f t="shared" si="36"/>
        <v>3.551304</v>
      </c>
      <c r="AU19" s="65">
        <f t="shared" si="37"/>
        <v>0.59188400000000008</v>
      </c>
      <c r="AV19" s="65">
        <f t="shared" si="38"/>
        <v>17.756519999999995</v>
      </c>
      <c r="AW19" s="65">
        <f t="shared" si="39"/>
        <v>99.880425000000002</v>
      </c>
      <c r="AX19" s="65">
        <f t="shared" si="40"/>
        <v>17.756519999999995</v>
      </c>
      <c r="AY19" s="65">
        <f t="shared" si="41"/>
        <v>31.961735999999995</v>
      </c>
      <c r="AZ19" s="65">
        <f t="shared" si="42"/>
        <v>5.326956</v>
      </c>
      <c r="BA19" s="67">
        <f t="shared" si="43"/>
        <v>177.5652</v>
      </c>
      <c r="BB19" s="67">
        <f t="shared" si="44"/>
        <v>399.52170000000001</v>
      </c>
      <c r="BC19" s="67">
        <f t="shared" si="45"/>
        <v>177.5652</v>
      </c>
      <c r="BD19" s="68">
        <f t="shared" si="46"/>
        <v>35.513039999999997</v>
      </c>
      <c r="BE19" s="68">
        <f t="shared" si="47"/>
        <v>5.9188400000000003</v>
      </c>
      <c r="BF19" s="67">
        <f t="shared" si="48"/>
        <v>17.756519999999995</v>
      </c>
      <c r="BG19" s="67">
        <f t="shared" si="49"/>
        <v>99.880425000000002</v>
      </c>
      <c r="BH19" s="67">
        <f t="shared" si="50"/>
        <v>17.756519999999995</v>
      </c>
      <c r="BI19" s="68">
        <f t="shared" si="51"/>
        <v>31.961735999999995</v>
      </c>
      <c r="BJ19" s="68">
        <f t="shared" si="52"/>
        <v>5.326956</v>
      </c>
      <c r="BK19" s="67">
        <f t="shared" si="53"/>
        <v>159.80868000000001</v>
      </c>
      <c r="BL19" s="67">
        <f t="shared" si="54"/>
        <v>299.64127500000001</v>
      </c>
      <c r="BM19" s="67">
        <f t="shared" si="55"/>
        <v>159.80868000000001</v>
      </c>
      <c r="BN19" s="68">
        <f t="shared" si="56"/>
        <v>3.551304</v>
      </c>
      <c r="BO19" s="187">
        <f t="shared" si="57"/>
        <v>0.59188400000000008</v>
      </c>
      <c r="BP19" s="157"/>
      <c r="BQ19" s="148"/>
      <c r="BR19" s="148"/>
      <c r="BS19" s="148"/>
      <c r="BT19" s="148"/>
      <c r="BU19" s="148"/>
      <c r="BV19" s="151">
        <v>0</v>
      </c>
      <c r="BW19" s="150">
        <f t="shared" si="80"/>
        <v>0</v>
      </c>
      <c r="BX19" s="150">
        <f t="shared" si="66"/>
        <v>0</v>
      </c>
      <c r="BY19" s="150">
        <f t="shared" si="67"/>
        <v>0</v>
      </c>
      <c r="BZ19" s="155">
        <f t="shared" si="68"/>
        <v>0</v>
      </c>
      <c r="CA19" s="179">
        <f>DH19</f>
        <v>2379941.2399999998</v>
      </c>
      <c r="CB19" s="203">
        <f t="shared" si="58"/>
        <v>226094.41779999997</v>
      </c>
      <c r="CC19" s="198">
        <f t="shared" si="69"/>
        <v>2434679.8899999997</v>
      </c>
      <c r="CD19" s="206">
        <f t="shared" si="59"/>
        <v>231294.58954999998</v>
      </c>
      <c r="CE19" s="150">
        <f t="shared" si="70"/>
        <v>2490677.5299999998</v>
      </c>
      <c r="CF19" s="206">
        <f t="shared" si="60"/>
        <v>236614.36534999998</v>
      </c>
      <c r="CG19" s="150">
        <f t="shared" si="71"/>
        <v>2547963.11</v>
      </c>
      <c r="CH19" s="206">
        <f t="shared" si="61"/>
        <v>242056.49544999999</v>
      </c>
      <c r="CI19" s="150">
        <f t="shared" si="72"/>
        <v>2606566.2599999998</v>
      </c>
      <c r="CJ19" s="206">
        <f t="shared" si="62"/>
        <v>247623.79469999997</v>
      </c>
      <c r="CK19" s="150">
        <f t="shared" si="73"/>
        <v>2666517.2799999998</v>
      </c>
      <c r="CL19" s="206">
        <f t="shared" si="63"/>
        <v>253319.14159999997</v>
      </c>
      <c r="CM19" s="150">
        <f t="shared" si="74"/>
        <v>2727847.1799999997</v>
      </c>
      <c r="CN19" s="150">
        <f t="shared" si="75"/>
        <v>2790587.67</v>
      </c>
      <c r="CO19" s="157"/>
      <c r="CP19" s="148"/>
      <c r="CQ19" s="148"/>
      <c r="CR19" s="148"/>
      <c r="CS19" s="148"/>
      <c r="CT19" s="148"/>
      <c r="CU19" s="151">
        <v>0</v>
      </c>
      <c r="CV19" s="150">
        <f t="shared" si="81"/>
        <v>0</v>
      </c>
      <c r="CW19" s="150">
        <f t="shared" ref="CW19:DG19" si="89">CV19+ROUND(CV19*CW$6,2)</f>
        <v>0</v>
      </c>
      <c r="CX19" s="150">
        <f t="shared" si="89"/>
        <v>0</v>
      </c>
      <c r="CY19" s="150">
        <f t="shared" si="89"/>
        <v>0</v>
      </c>
      <c r="CZ19" s="155">
        <f t="shared" si="89"/>
        <v>0</v>
      </c>
      <c r="DA19" s="155">
        <f t="shared" si="89"/>
        <v>0</v>
      </c>
      <c r="DB19" s="155">
        <f t="shared" si="89"/>
        <v>0</v>
      </c>
      <c r="DC19" s="155">
        <f t="shared" si="89"/>
        <v>0</v>
      </c>
      <c r="DD19" s="155">
        <f t="shared" si="89"/>
        <v>0</v>
      </c>
      <c r="DE19" s="155">
        <f t="shared" si="89"/>
        <v>0</v>
      </c>
      <c r="DF19" s="155">
        <f t="shared" si="89"/>
        <v>0</v>
      </c>
      <c r="DG19" s="155">
        <f t="shared" si="89"/>
        <v>0</v>
      </c>
      <c r="DH19" s="400">
        <f>$DM$28*'1.piel'!I18</f>
        <v>2379941.2399999998</v>
      </c>
      <c r="DI19" s="243">
        <f>SUM(CA19,DH19)-DH19</f>
        <v>2379941.2399999998</v>
      </c>
      <c r="DJ19" s="248">
        <f t="shared" si="65"/>
        <v>307.16846153846149</v>
      </c>
      <c r="DK19" s="382">
        <v>0</v>
      </c>
      <c r="DL19">
        <f>DH19/'1.piel'!G18</f>
        <v>307.16846153846149</v>
      </c>
    </row>
    <row r="20" spans="2:117" x14ac:dyDescent="0.25">
      <c r="B20" s="52">
        <v>31</v>
      </c>
      <c r="C20" s="53" t="s">
        <v>72</v>
      </c>
      <c r="D20" s="36" t="s">
        <v>250</v>
      </c>
      <c r="E20" s="110">
        <v>6979</v>
      </c>
      <c r="F20" s="178">
        <v>7769</v>
      </c>
      <c r="G20" s="63">
        <v>0</v>
      </c>
      <c r="H20" s="99">
        <f t="shared" si="4"/>
        <v>7769</v>
      </c>
      <c r="I20" s="94">
        <f t="shared" si="5"/>
        <v>0.95482044021109536</v>
      </c>
      <c r="J20" s="89">
        <v>7418</v>
      </c>
      <c r="K20" s="98">
        <f t="shared" si="6"/>
        <v>4.5179559788904623E-2</v>
      </c>
      <c r="L20" s="99">
        <f t="shared" si="7"/>
        <v>351</v>
      </c>
      <c r="M20" s="174">
        <f t="shared" si="8"/>
        <v>7.6868999999999996</v>
      </c>
      <c r="N20" s="64">
        <f t="shared" si="9"/>
        <v>17.295525000000001</v>
      </c>
      <c r="O20" s="64">
        <f t="shared" si="10"/>
        <v>7.6868999999999996</v>
      </c>
      <c r="P20" s="64">
        <f t="shared" si="11"/>
        <v>1.53738</v>
      </c>
      <c r="Q20" s="64">
        <f t="shared" si="12"/>
        <v>0.25623000000000001</v>
      </c>
      <c r="R20" s="64">
        <f t="shared" si="13"/>
        <v>1.6654949999999999</v>
      </c>
      <c r="S20" s="64">
        <f t="shared" si="14"/>
        <v>2.81853</v>
      </c>
      <c r="T20" s="64">
        <f t="shared" si="15"/>
        <v>1.9217249999999999</v>
      </c>
      <c r="U20" s="64">
        <f t="shared" si="16"/>
        <v>0.38434499999999999</v>
      </c>
      <c r="V20" s="64">
        <f t="shared" si="17"/>
        <v>6.4057500000000003E-2</v>
      </c>
      <c r="W20" s="64">
        <f t="shared" si="18"/>
        <v>2.4341849999999998</v>
      </c>
      <c r="X20" s="64">
        <f t="shared" si="19"/>
        <v>4.0996800000000002</v>
      </c>
      <c r="Y20" s="64">
        <f t="shared" si="20"/>
        <v>1.9217249999999999</v>
      </c>
      <c r="Z20" s="64">
        <f t="shared" si="21"/>
        <v>0</v>
      </c>
      <c r="AA20" s="64">
        <f t="shared" si="22"/>
        <v>0</v>
      </c>
      <c r="AB20" s="64">
        <f t="shared" si="23"/>
        <v>3.5872199999999999</v>
      </c>
      <c r="AC20" s="64">
        <f t="shared" si="24"/>
        <v>10.377314999999999</v>
      </c>
      <c r="AD20" s="64">
        <f t="shared" si="25"/>
        <v>3.8434499999999998</v>
      </c>
      <c r="AE20" s="64">
        <f t="shared" si="26"/>
        <v>1.153035</v>
      </c>
      <c r="AF20" s="64">
        <f t="shared" si="27"/>
        <v>0.1921725</v>
      </c>
      <c r="AG20" s="65">
        <f t="shared" si="28"/>
        <v>162.45419999999999</v>
      </c>
      <c r="AH20" s="65">
        <f t="shared" si="29"/>
        <v>365.52195</v>
      </c>
      <c r="AI20" s="65">
        <f t="shared" si="30"/>
        <v>162.45419999999999</v>
      </c>
      <c r="AJ20" s="65">
        <f t="shared" si="31"/>
        <v>32.490839999999999</v>
      </c>
      <c r="AK20" s="65">
        <f t="shared" si="32"/>
        <v>5.4151400000000001</v>
      </c>
      <c r="AL20" s="66">
        <v>0.9</v>
      </c>
      <c r="AM20" s="66">
        <v>0.75</v>
      </c>
      <c r="AN20" s="66">
        <v>0.9</v>
      </c>
      <c r="AO20" s="66">
        <v>0.1</v>
      </c>
      <c r="AP20" s="66">
        <v>0.1</v>
      </c>
      <c r="AQ20" s="65">
        <f t="shared" si="33"/>
        <v>147.70772549999998</v>
      </c>
      <c r="AR20" s="65">
        <f t="shared" si="34"/>
        <v>276.25536</v>
      </c>
      <c r="AS20" s="65">
        <f t="shared" si="35"/>
        <v>147.9383325</v>
      </c>
      <c r="AT20" s="65">
        <f t="shared" si="36"/>
        <v>3.2875185000000005</v>
      </c>
      <c r="AU20" s="65">
        <f t="shared" si="37"/>
        <v>0.54791975000000004</v>
      </c>
      <c r="AV20" s="65">
        <f t="shared" si="38"/>
        <v>16.411969499999998</v>
      </c>
      <c r="AW20" s="65">
        <f t="shared" si="39"/>
        <v>92.085120000000018</v>
      </c>
      <c r="AX20" s="65">
        <f t="shared" si="40"/>
        <v>16.437592499999994</v>
      </c>
      <c r="AY20" s="65">
        <f t="shared" si="41"/>
        <v>29.587666500000001</v>
      </c>
      <c r="AZ20" s="65">
        <f t="shared" si="42"/>
        <v>4.9312777499999996</v>
      </c>
      <c r="BA20" s="67">
        <f t="shared" si="43"/>
        <v>170.14109999999999</v>
      </c>
      <c r="BB20" s="67">
        <f t="shared" si="44"/>
        <v>382.817475</v>
      </c>
      <c r="BC20" s="67">
        <f t="shared" si="45"/>
        <v>170.14109999999999</v>
      </c>
      <c r="BD20" s="68">
        <f t="shared" si="46"/>
        <v>34.028219999999997</v>
      </c>
      <c r="BE20" s="68">
        <f t="shared" si="47"/>
        <v>5.6713700000000005</v>
      </c>
      <c r="BF20" s="67">
        <f t="shared" si="48"/>
        <v>19.999189499999996</v>
      </c>
      <c r="BG20" s="67">
        <f t="shared" si="49"/>
        <v>102.46243500000001</v>
      </c>
      <c r="BH20" s="67">
        <f t="shared" si="50"/>
        <v>20.281042499999995</v>
      </c>
      <c r="BI20" s="68">
        <f t="shared" si="51"/>
        <v>30.7407015</v>
      </c>
      <c r="BJ20" s="68">
        <f t="shared" si="52"/>
        <v>5.1234502499999994</v>
      </c>
      <c r="BK20" s="67">
        <f t="shared" si="53"/>
        <v>150.14191049999999</v>
      </c>
      <c r="BL20" s="67">
        <f t="shared" si="54"/>
        <v>280.35503999999997</v>
      </c>
      <c r="BM20" s="67">
        <f t="shared" si="55"/>
        <v>149.86005750000001</v>
      </c>
      <c r="BN20" s="68">
        <f t="shared" si="56"/>
        <v>3.2875185000000005</v>
      </c>
      <c r="BO20" s="187">
        <f t="shared" si="57"/>
        <v>0.54791975000000004</v>
      </c>
      <c r="BP20" s="157"/>
      <c r="BQ20" s="148"/>
      <c r="BR20" s="148"/>
      <c r="BS20" s="148"/>
      <c r="BT20" s="148"/>
      <c r="BU20" s="148"/>
      <c r="BV20" s="151">
        <f>661100*0.6+26400+33000</f>
        <v>456060</v>
      </c>
      <c r="BW20" s="150">
        <f t="shared" si="80"/>
        <v>478863</v>
      </c>
      <c r="BX20" s="150">
        <f t="shared" si="66"/>
        <v>550213.59</v>
      </c>
      <c r="BY20" s="150">
        <f t="shared" si="67"/>
        <v>552414.43999999994</v>
      </c>
      <c r="BZ20" s="155">
        <f t="shared" si="68"/>
        <v>565119.97</v>
      </c>
      <c r="CA20" s="179">
        <f>BZ20+ROUND(BZ20*$BZ$6,2)+DH20</f>
        <v>2858552.3</v>
      </c>
      <c r="CB20" s="203">
        <f t="shared" si="58"/>
        <v>271562.46849999996</v>
      </c>
      <c r="CC20" s="198">
        <f t="shared" si="69"/>
        <v>2924299</v>
      </c>
      <c r="CD20" s="206">
        <f t="shared" si="59"/>
        <v>277808.40500000003</v>
      </c>
      <c r="CE20" s="150">
        <f t="shared" si="70"/>
        <v>2991557.88</v>
      </c>
      <c r="CF20" s="206">
        <f t="shared" si="60"/>
        <v>284197.99859999999</v>
      </c>
      <c r="CG20" s="150">
        <f t="shared" si="71"/>
        <v>3060363.71</v>
      </c>
      <c r="CH20" s="206">
        <f t="shared" si="61"/>
        <v>290734.55245000002</v>
      </c>
      <c r="CI20" s="150">
        <f t="shared" si="72"/>
        <v>3130752.08</v>
      </c>
      <c r="CJ20" s="206">
        <f t="shared" si="62"/>
        <v>297421.44760000001</v>
      </c>
      <c r="CK20" s="150">
        <f t="shared" si="73"/>
        <v>3202759.38</v>
      </c>
      <c r="CL20" s="206">
        <f t="shared" si="63"/>
        <v>304262.14110000001</v>
      </c>
      <c r="CM20" s="150">
        <f t="shared" si="74"/>
        <v>3276422.85</v>
      </c>
      <c r="CN20" s="150">
        <f t="shared" si="75"/>
        <v>3351780.58</v>
      </c>
      <c r="CO20" s="157"/>
      <c r="CP20" s="148"/>
      <c r="CQ20" s="148"/>
      <c r="CR20" s="148"/>
      <c r="CS20" s="148"/>
      <c r="CT20" s="148"/>
      <c r="CU20" s="151">
        <v>0</v>
      </c>
      <c r="CV20" s="150">
        <f t="shared" si="81"/>
        <v>0</v>
      </c>
      <c r="CW20" s="150">
        <f t="shared" ref="CW20:DG20" si="90">CV20+ROUND(CV20*CW$6,2)</f>
        <v>0</v>
      </c>
      <c r="CX20" s="150">
        <f t="shared" si="90"/>
        <v>0</v>
      </c>
      <c r="CY20" s="150">
        <f t="shared" si="90"/>
        <v>0</v>
      </c>
      <c r="CZ20" s="155">
        <f t="shared" si="90"/>
        <v>0</v>
      </c>
      <c r="DA20" s="155">
        <f t="shared" si="90"/>
        <v>0</v>
      </c>
      <c r="DB20" s="155">
        <f t="shared" si="90"/>
        <v>0</v>
      </c>
      <c r="DC20" s="155">
        <f t="shared" si="90"/>
        <v>0</v>
      </c>
      <c r="DD20" s="155">
        <f t="shared" si="90"/>
        <v>0</v>
      </c>
      <c r="DE20" s="155">
        <f t="shared" si="90"/>
        <v>0</v>
      </c>
      <c r="DF20" s="155">
        <f t="shared" si="90"/>
        <v>0</v>
      </c>
      <c r="DG20" s="155">
        <f t="shared" si="90"/>
        <v>0</v>
      </c>
      <c r="DH20" s="400">
        <f>$DM$28*'1.piel'!I19</f>
        <v>2280434.5699999998</v>
      </c>
      <c r="DI20" s="243">
        <f>SUM(CA20,DH20)-DH20</f>
        <v>2858552.2999999993</v>
      </c>
      <c r="DJ20" s="248">
        <f t="shared" si="65"/>
        <v>1940.5890598290598</v>
      </c>
      <c r="DK20" s="382">
        <f>(CA20-DH20)/'1.piel'!M19</f>
        <v>1647.0590598290598</v>
      </c>
      <c r="DL20">
        <f>DH20/'1.piel'!G19</f>
        <v>293.52999999999997</v>
      </c>
    </row>
    <row r="21" spans="2:117" s="3" customFormat="1" x14ac:dyDescent="0.25">
      <c r="B21" s="52">
        <v>32</v>
      </c>
      <c r="C21" s="53" t="s">
        <v>73</v>
      </c>
      <c r="D21" s="36" t="s">
        <v>250</v>
      </c>
      <c r="E21" s="110">
        <v>6110</v>
      </c>
      <c r="F21" s="178">
        <v>5084</v>
      </c>
      <c r="G21" s="63">
        <v>1173</v>
      </c>
      <c r="H21" s="99">
        <f t="shared" si="4"/>
        <v>6257</v>
      </c>
      <c r="I21" s="94">
        <f t="shared" si="5"/>
        <v>0.90342250196695517</v>
      </c>
      <c r="J21" s="89">
        <v>4593</v>
      </c>
      <c r="K21" s="98">
        <f t="shared" si="6"/>
        <v>9.6577498033044842E-2</v>
      </c>
      <c r="L21" s="99">
        <f t="shared" si="7"/>
        <v>491</v>
      </c>
      <c r="M21" s="174">
        <f t="shared" si="8"/>
        <v>10.7529</v>
      </c>
      <c r="N21" s="64">
        <f t="shared" si="9"/>
        <v>24.194025</v>
      </c>
      <c r="O21" s="64">
        <f t="shared" si="10"/>
        <v>10.7529</v>
      </c>
      <c r="P21" s="64">
        <f t="shared" si="11"/>
        <v>2.1505800000000002</v>
      </c>
      <c r="Q21" s="64">
        <f t="shared" si="12"/>
        <v>0.35843000000000003</v>
      </c>
      <c r="R21" s="64">
        <f t="shared" si="13"/>
        <v>2.3297949999999998</v>
      </c>
      <c r="S21" s="64">
        <f t="shared" si="14"/>
        <v>3.9427300000000001</v>
      </c>
      <c r="T21" s="64">
        <f t="shared" si="15"/>
        <v>2.6882250000000001</v>
      </c>
      <c r="U21" s="64">
        <f t="shared" si="16"/>
        <v>0.53764500000000004</v>
      </c>
      <c r="V21" s="64">
        <f t="shared" si="17"/>
        <v>8.9607500000000007E-2</v>
      </c>
      <c r="W21" s="64">
        <f t="shared" si="18"/>
        <v>3.4050850000000001</v>
      </c>
      <c r="X21" s="64">
        <f t="shared" si="19"/>
        <v>5.7348800000000004</v>
      </c>
      <c r="Y21" s="64">
        <f t="shared" si="20"/>
        <v>2.6882250000000001</v>
      </c>
      <c r="Z21" s="64">
        <f t="shared" si="21"/>
        <v>0</v>
      </c>
      <c r="AA21" s="64">
        <f t="shared" si="22"/>
        <v>0</v>
      </c>
      <c r="AB21" s="64">
        <f t="shared" si="23"/>
        <v>5.0180199999999999</v>
      </c>
      <c r="AC21" s="64">
        <f t="shared" si="24"/>
        <v>14.516415</v>
      </c>
      <c r="AD21" s="64">
        <f t="shared" si="25"/>
        <v>5.3764500000000002</v>
      </c>
      <c r="AE21" s="64">
        <f t="shared" si="26"/>
        <v>1.612935</v>
      </c>
      <c r="AF21" s="64">
        <f t="shared" si="27"/>
        <v>0.26882250000000002</v>
      </c>
      <c r="AG21" s="65">
        <f t="shared" si="28"/>
        <v>126.2754</v>
      </c>
      <c r="AH21" s="65">
        <f t="shared" si="29"/>
        <v>284.11964999999998</v>
      </c>
      <c r="AI21" s="65">
        <f t="shared" si="30"/>
        <v>126.2754</v>
      </c>
      <c r="AJ21" s="65">
        <f t="shared" si="31"/>
        <v>25.25508</v>
      </c>
      <c r="AK21" s="65">
        <f t="shared" si="32"/>
        <v>4.2091799999999999</v>
      </c>
      <c r="AL21" s="66">
        <v>0.9</v>
      </c>
      <c r="AM21" s="66">
        <v>0.75</v>
      </c>
      <c r="AN21" s="66">
        <v>0.9</v>
      </c>
      <c r="AO21" s="66">
        <v>0.1</v>
      </c>
      <c r="AP21" s="66">
        <v>0.1</v>
      </c>
      <c r="AQ21" s="65">
        <f t="shared" si="33"/>
        <v>115.74467550000001</v>
      </c>
      <c r="AR21" s="65">
        <f t="shared" si="34"/>
        <v>216.04678499999997</v>
      </c>
      <c r="AS21" s="65">
        <f t="shared" si="35"/>
        <v>116.06726250000001</v>
      </c>
      <c r="AT21" s="65">
        <f t="shared" si="36"/>
        <v>2.5792725000000001</v>
      </c>
      <c r="AU21" s="65">
        <f t="shared" si="37"/>
        <v>0.42987874999999998</v>
      </c>
      <c r="AV21" s="65">
        <f t="shared" si="38"/>
        <v>12.860519499999995</v>
      </c>
      <c r="AW21" s="65">
        <f t="shared" si="39"/>
        <v>72.01559499999999</v>
      </c>
      <c r="AX21" s="65">
        <f t="shared" si="40"/>
        <v>12.896362499999995</v>
      </c>
      <c r="AY21" s="65">
        <f t="shared" si="41"/>
        <v>23.213452500000002</v>
      </c>
      <c r="AZ21" s="65">
        <f t="shared" si="42"/>
        <v>3.8689087499999997</v>
      </c>
      <c r="BA21" s="67">
        <f t="shared" si="43"/>
        <v>137.0283</v>
      </c>
      <c r="BB21" s="67">
        <f t="shared" si="44"/>
        <v>308.31367499999999</v>
      </c>
      <c r="BC21" s="67">
        <f t="shared" si="45"/>
        <v>137.0283</v>
      </c>
      <c r="BD21" s="68">
        <f t="shared" si="46"/>
        <v>27.405660000000001</v>
      </c>
      <c r="BE21" s="68">
        <f t="shared" si="47"/>
        <v>4.5676100000000002</v>
      </c>
      <c r="BF21" s="67">
        <f t="shared" si="48"/>
        <v>17.878539499999995</v>
      </c>
      <c r="BG21" s="67">
        <f t="shared" si="49"/>
        <v>86.532009999999985</v>
      </c>
      <c r="BH21" s="67">
        <f t="shared" si="50"/>
        <v>18.272812499999993</v>
      </c>
      <c r="BI21" s="68">
        <f t="shared" si="51"/>
        <v>24.826387500000003</v>
      </c>
      <c r="BJ21" s="68">
        <f t="shared" si="52"/>
        <v>4.1377312499999999</v>
      </c>
      <c r="BK21" s="67">
        <f t="shared" si="53"/>
        <v>119.14976050000001</v>
      </c>
      <c r="BL21" s="67">
        <f t="shared" si="54"/>
        <v>221.78166499999998</v>
      </c>
      <c r="BM21" s="67">
        <f t="shared" si="55"/>
        <v>118.75548750000002</v>
      </c>
      <c r="BN21" s="68">
        <f t="shared" si="56"/>
        <v>2.5792725000000001</v>
      </c>
      <c r="BO21" s="187">
        <f t="shared" si="57"/>
        <v>0.42987874999999998</v>
      </c>
      <c r="BP21" s="157"/>
      <c r="BQ21" s="148"/>
      <c r="BR21" s="148"/>
      <c r="BS21" s="148"/>
      <c r="BT21" s="148"/>
      <c r="BU21" s="148"/>
      <c r="BV21" s="151">
        <f>199232+189399</f>
        <v>388631</v>
      </c>
      <c r="BW21" s="150">
        <f t="shared" si="80"/>
        <v>408062.55</v>
      </c>
      <c r="BX21" s="150">
        <f t="shared" si="66"/>
        <v>468863.87</v>
      </c>
      <c r="BY21" s="150">
        <f t="shared" si="67"/>
        <v>470739.33</v>
      </c>
      <c r="BZ21" s="155">
        <f t="shared" si="68"/>
        <v>481566.33</v>
      </c>
      <c r="CA21" s="179">
        <f>BZ21+ROUND(BZ21*$BZ$6,2)+DH21</f>
        <v>2329259.5699999998</v>
      </c>
      <c r="CB21" s="203">
        <f t="shared" si="58"/>
        <v>221279.65914999999</v>
      </c>
      <c r="CC21" s="198">
        <f t="shared" si="69"/>
        <v>2382832.54</v>
      </c>
      <c r="CD21" s="206">
        <f t="shared" si="59"/>
        <v>226369.0913</v>
      </c>
      <c r="CE21" s="150">
        <f t="shared" si="70"/>
        <v>2437637.69</v>
      </c>
      <c r="CF21" s="206">
        <f t="shared" si="60"/>
        <v>231575.58054999998</v>
      </c>
      <c r="CG21" s="150">
        <f t="shared" si="71"/>
        <v>2493703.36</v>
      </c>
      <c r="CH21" s="206">
        <f t="shared" si="61"/>
        <v>236901.8192</v>
      </c>
      <c r="CI21" s="150">
        <f t="shared" si="72"/>
        <v>2551058.54</v>
      </c>
      <c r="CJ21" s="206">
        <f t="shared" si="62"/>
        <v>242350.5613</v>
      </c>
      <c r="CK21" s="150">
        <f t="shared" si="73"/>
        <v>2609732.89</v>
      </c>
      <c r="CL21" s="206">
        <f t="shared" si="63"/>
        <v>247924.62455000001</v>
      </c>
      <c r="CM21" s="150">
        <f t="shared" si="74"/>
        <v>2669756.75</v>
      </c>
      <c r="CN21" s="150">
        <f t="shared" si="75"/>
        <v>2731161.16</v>
      </c>
      <c r="CO21" s="157"/>
      <c r="CP21" s="148"/>
      <c r="CQ21" s="148"/>
      <c r="CR21" s="148"/>
      <c r="CS21" s="148"/>
      <c r="CT21" s="148"/>
      <c r="CU21" s="151">
        <v>0</v>
      </c>
      <c r="CV21" s="150">
        <f t="shared" si="81"/>
        <v>0</v>
      </c>
      <c r="CW21" s="150">
        <f t="shared" ref="CW21:DG21" si="91">CV21+ROUND(CV21*CW$6,2)</f>
        <v>0</v>
      </c>
      <c r="CX21" s="150">
        <f t="shared" si="91"/>
        <v>0</v>
      </c>
      <c r="CY21" s="150">
        <f t="shared" si="91"/>
        <v>0</v>
      </c>
      <c r="CZ21" s="155">
        <f t="shared" si="91"/>
        <v>0</v>
      </c>
      <c r="DA21" s="155">
        <f t="shared" si="91"/>
        <v>0</v>
      </c>
      <c r="DB21" s="155">
        <f t="shared" si="91"/>
        <v>0</v>
      </c>
      <c r="DC21" s="155">
        <f t="shared" si="91"/>
        <v>0</v>
      </c>
      <c r="DD21" s="155">
        <f t="shared" si="91"/>
        <v>0</v>
      </c>
      <c r="DE21" s="155">
        <f t="shared" si="91"/>
        <v>0</v>
      </c>
      <c r="DF21" s="155">
        <f t="shared" si="91"/>
        <v>0</v>
      </c>
      <c r="DG21" s="155">
        <f t="shared" si="91"/>
        <v>0</v>
      </c>
      <c r="DH21" s="400">
        <f>$DM$28*'1.piel'!I20</f>
        <v>1836617.2099999997</v>
      </c>
      <c r="DI21" s="243">
        <f>SUM(CA21,DH21)-DH21</f>
        <v>2329259.5699999994</v>
      </c>
      <c r="DJ21" s="248">
        <f t="shared" si="65"/>
        <v>1364.5992973243001</v>
      </c>
      <c r="DK21" s="382">
        <f>(CA21-DH21)/'1.piel'!M20</f>
        <v>1003.3449287169045</v>
      </c>
      <c r="DL21">
        <f>DH21/'1.piel'!G20</f>
        <v>361.25436860739569</v>
      </c>
    </row>
    <row r="22" spans="2:117" x14ac:dyDescent="0.25">
      <c r="B22" s="52">
        <v>34</v>
      </c>
      <c r="C22" s="53" t="s">
        <v>77</v>
      </c>
      <c r="D22" s="40" t="s">
        <v>250</v>
      </c>
      <c r="E22" s="110">
        <v>5990</v>
      </c>
      <c r="F22" s="178">
        <v>5275</v>
      </c>
      <c r="G22" s="63">
        <v>388</v>
      </c>
      <c r="H22" s="99">
        <f t="shared" si="4"/>
        <v>5663</v>
      </c>
      <c r="I22" s="94">
        <f t="shared" si="5"/>
        <v>1</v>
      </c>
      <c r="J22" s="89">
        <v>5275</v>
      </c>
      <c r="K22" s="98">
        <f t="shared" si="6"/>
        <v>0</v>
      </c>
      <c r="L22" s="99">
        <f t="shared" si="7"/>
        <v>0</v>
      </c>
      <c r="M22" s="174">
        <f t="shared" si="8"/>
        <v>0</v>
      </c>
      <c r="N22" s="64">
        <f t="shared" si="9"/>
        <v>0</v>
      </c>
      <c r="O22" s="64">
        <f t="shared" si="10"/>
        <v>0</v>
      </c>
      <c r="P22" s="64">
        <f t="shared" si="11"/>
        <v>0</v>
      </c>
      <c r="Q22" s="64">
        <f t="shared" si="12"/>
        <v>0</v>
      </c>
      <c r="R22" s="64">
        <f t="shared" si="13"/>
        <v>0</v>
      </c>
      <c r="S22" s="64">
        <f t="shared" si="14"/>
        <v>0</v>
      </c>
      <c r="T22" s="64">
        <f t="shared" si="15"/>
        <v>0</v>
      </c>
      <c r="U22" s="64">
        <f t="shared" si="16"/>
        <v>0</v>
      </c>
      <c r="V22" s="64">
        <f t="shared" si="17"/>
        <v>0</v>
      </c>
      <c r="W22" s="64">
        <f t="shared" si="18"/>
        <v>0</v>
      </c>
      <c r="X22" s="64">
        <f t="shared" si="19"/>
        <v>0</v>
      </c>
      <c r="Y22" s="64">
        <f t="shared" si="20"/>
        <v>0</v>
      </c>
      <c r="Z22" s="64">
        <f t="shared" si="21"/>
        <v>0</v>
      </c>
      <c r="AA22" s="64">
        <f t="shared" si="22"/>
        <v>0</v>
      </c>
      <c r="AB22" s="64">
        <f t="shared" si="23"/>
        <v>0</v>
      </c>
      <c r="AC22" s="64">
        <f t="shared" si="24"/>
        <v>0</v>
      </c>
      <c r="AD22" s="64">
        <f t="shared" si="25"/>
        <v>0</v>
      </c>
      <c r="AE22" s="64">
        <f t="shared" si="26"/>
        <v>0</v>
      </c>
      <c r="AF22" s="64">
        <f t="shared" si="27"/>
        <v>0</v>
      </c>
      <c r="AG22" s="65">
        <f t="shared" si="28"/>
        <v>124.0197</v>
      </c>
      <c r="AH22" s="65">
        <f t="shared" si="29"/>
        <v>279.04432500000001</v>
      </c>
      <c r="AI22" s="65">
        <f t="shared" si="30"/>
        <v>124.0197</v>
      </c>
      <c r="AJ22" s="65">
        <f t="shared" si="31"/>
        <v>24.803940000000001</v>
      </c>
      <c r="AK22" s="65">
        <f t="shared" si="32"/>
        <v>4.1339899999999998</v>
      </c>
      <c r="AL22" s="66">
        <v>0.9</v>
      </c>
      <c r="AM22" s="66">
        <v>0.75</v>
      </c>
      <c r="AN22" s="66">
        <v>0.9</v>
      </c>
      <c r="AO22" s="66">
        <v>0.1</v>
      </c>
      <c r="AP22" s="66">
        <v>0.1</v>
      </c>
      <c r="AQ22" s="65">
        <f t="shared" si="33"/>
        <v>111.61773000000001</v>
      </c>
      <c r="AR22" s="65">
        <f t="shared" si="34"/>
        <v>209.28324375</v>
      </c>
      <c r="AS22" s="65">
        <f t="shared" si="35"/>
        <v>111.61773000000001</v>
      </c>
      <c r="AT22" s="65">
        <f t="shared" si="36"/>
        <v>2.4803940000000004</v>
      </c>
      <c r="AU22" s="65">
        <f t="shared" si="37"/>
        <v>0.41339900000000002</v>
      </c>
      <c r="AV22" s="65">
        <f t="shared" si="38"/>
        <v>12.401969999999992</v>
      </c>
      <c r="AW22" s="65">
        <f t="shared" si="39"/>
        <v>69.761081250000018</v>
      </c>
      <c r="AX22" s="65">
        <f t="shared" si="40"/>
        <v>12.401969999999992</v>
      </c>
      <c r="AY22" s="65">
        <f t="shared" si="41"/>
        <v>22.323546</v>
      </c>
      <c r="AZ22" s="65">
        <f t="shared" si="42"/>
        <v>3.7205909999999998</v>
      </c>
      <c r="BA22" s="67">
        <f t="shared" si="43"/>
        <v>124.0197</v>
      </c>
      <c r="BB22" s="67">
        <f t="shared" si="44"/>
        <v>279.04432500000001</v>
      </c>
      <c r="BC22" s="67">
        <f t="shared" si="45"/>
        <v>124.0197</v>
      </c>
      <c r="BD22" s="68">
        <f t="shared" si="46"/>
        <v>24.803940000000001</v>
      </c>
      <c r="BE22" s="68">
        <f t="shared" si="47"/>
        <v>4.1339899999999998</v>
      </c>
      <c r="BF22" s="67">
        <f t="shared" si="48"/>
        <v>12.401969999999992</v>
      </c>
      <c r="BG22" s="67">
        <f t="shared" si="49"/>
        <v>69.761081250000018</v>
      </c>
      <c r="BH22" s="67">
        <f t="shared" si="50"/>
        <v>12.401969999999992</v>
      </c>
      <c r="BI22" s="68">
        <f t="shared" si="51"/>
        <v>22.323546</v>
      </c>
      <c r="BJ22" s="68">
        <f t="shared" si="52"/>
        <v>3.7205909999999998</v>
      </c>
      <c r="BK22" s="67">
        <f t="shared" si="53"/>
        <v>111.61773000000001</v>
      </c>
      <c r="BL22" s="67">
        <f t="shared" si="54"/>
        <v>209.28324375</v>
      </c>
      <c r="BM22" s="67">
        <f t="shared" si="55"/>
        <v>111.61773000000001</v>
      </c>
      <c r="BN22" s="68">
        <f t="shared" si="56"/>
        <v>2.4803940000000004</v>
      </c>
      <c r="BO22" s="187">
        <f t="shared" si="57"/>
        <v>0.41339900000000002</v>
      </c>
      <c r="BP22" s="157"/>
      <c r="BQ22" s="148"/>
      <c r="BR22" s="148"/>
      <c r="BS22" s="148"/>
      <c r="BT22" s="148"/>
      <c r="BU22" s="148"/>
      <c r="BV22" s="151">
        <v>0</v>
      </c>
      <c r="BW22" s="150">
        <f t="shared" si="80"/>
        <v>0</v>
      </c>
      <c r="BX22" s="150">
        <f t="shared" si="66"/>
        <v>0</v>
      </c>
      <c r="BY22" s="150">
        <f t="shared" si="67"/>
        <v>0</v>
      </c>
      <c r="BZ22" s="155">
        <f t="shared" si="68"/>
        <v>0</v>
      </c>
      <c r="CA22" s="179">
        <f t="shared" si="68"/>
        <v>0</v>
      </c>
      <c r="CB22" s="203">
        <f t="shared" si="58"/>
        <v>0</v>
      </c>
      <c r="CC22" s="198">
        <f t="shared" si="69"/>
        <v>0</v>
      </c>
      <c r="CD22" s="206">
        <f t="shared" si="59"/>
        <v>0</v>
      </c>
      <c r="CE22" s="150">
        <f t="shared" si="70"/>
        <v>0</v>
      </c>
      <c r="CF22" s="206">
        <f t="shared" si="60"/>
        <v>0</v>
      </c>
      <c r="CG22" s="150">
        <f t="shared" si="71"/>
        <v>0</v>
      </c>
      <c r="CH22" s="206">
        <f t="shared" si="61"/>
        <v>0</v>
      </c>
      <c r="CI22" s="150">
        <f t="shared" si="72"/>
        <v>0</v>
      </c>
      <c r="CJ22" s="206">
        <f t="shared" si="62"/>
        <v>0</v>
      </c>
      <c r="CK22" s="150">
        <f t="shared" si="73"/>
        <v>0</v>
      </c>
      <c r="CL22" s="206">
        <f t="shared" si="63"/>
        <v>0</v>
      </c>
      <c r="CM22" s="150">
        <f t="shared" si="74"/>
        <v>0</v>
      </c>
      <c r="CN22" s="150">
        <f t="shared" si="75"/>
        <v>0</v>
      </c>
      <c r="CO22" s="157"/>
      <c r="CP22" s="148"/>
      <c r="CQ22" s="148"/>
      <c r="CR22" s="148"/>
      <c r="CS22" s="148"/>
      <c r="CT22" s="148"/>
      <c r="CU22" s="151">
        <v>913100</v>
      </c>
      <c r="CV22" s="150">
        <f t="shared" si="81"/>
        <v>958755</v>
      </c>
      <c r="CW22" s="150">
        <f t="shared" ref="CW22:DG22" si="92">CV22+ROUND(CV22*CW$6,2)</f>
        <v>1101609.5</v>
      </c>
      <c r="CX22" s="150">
        <f t="shared" si="92"/>
        <v>1106015.94</v>
      </c>
      <c r="CY22" s="150">
        <f t="shared" si="92"/>
        <v>1131454.31</v>
      </c>
      <c r="CZ22" s="155">
        <f t="shared" si="92"/>
        <v>1159740.6700000002</v>
      </c>
      <c r="DA22" s="155">
        <f t="shared" si="92"/>
        <v>1188734.1900000002</v>
      </c>
      <c r="DB22" s="155">
        <f t="shared" si="92"/>
        <v>1218452.5400000003</v>
      </c>
      <c r="DC22" s="155">
        <f t="shared" si="92"/>
        <v>1248913.8500000003</v>
      </c>
      <c r="DD22" s="155">
        <f t="shared" si="92"/>
        <v>1280136.7000000004</v>
      </c>
      <c r="DE22" s="155">
        <f t="shared" si="92"/>
        <v>1312140.1200000003</v>
      </c>
      <c r="DF22" s="155">
        <f t="shared" si="92"/>
        <v>1344943.6200000003</v>
      </c>
      <c r="DG22" s="155">
        <f t="shared" si="92"/>
        <v>1378567.2100000004</v>
      </c>
      <c r="DH22" s="236">
        <v>0</v>
      </c>
      <c r="DI22" s="243">
        <f t="shared" si="77"/>
        <v>0</v>
      </c>
      <c r="DJ22" s="248">
        <f t="shared" si="65"/>
        <v>0</v>
      </c>
      <c r="DK22" s="382">
        <v>0</v>
      </c>
      <c r="DL22">
        <f>DH22/'1.piel'!G21</f>
        <v>0</v>
      </c>
    </row>
    <row r="23" spans="2:117" x14ac:dyDescent="0.25">
      <c r="B23" s="52">
        <v>43</v>
      </c>
      <c r="C23" s="53" t="s">
        <v>85</v>
      </c>
      <c r="D23" s="40" t="s">
        <v>250</v>
      </c>
      <c r="E23" s="110">
        <v>3819</v>
      </c>
      <c r="F23" s="178">
        <v>3989</v>
      </c>
      <c r="G23" s="36">
        <v>0</v>
      </c>
      <c r="H23" s="99">
        <f t="shared" si="4"/>
        <v>3989</v>
      </c>
      <c r="I23" s="94">
        <f t="shared" si="5"/>
        <v>0.79719227876660814</v>
      </c>
      <c r="J23" s="89">
        <v>3180</v>
      </c>
      <c r="K23" s="98">
        <f t="shared" si="6"/>
        <v>0.20280772123339183</v>
      </c>
      <c r="L23" s="99">
        <f t="shared" si="7"/>
        <v>809</v>
      </c>
      <c r="M23" s="174">
        <f t="shared" si="8"/>
        <v>17.717099999999999</v>
      </c>
      <c r="N23" s="64">
        <f t="shared" si="9"/>
        <v>39.863475000000001</v>
      </c>
      <c r="O23" s="64">
        <f t="shared" si="10"/>
        <v>17.717099999999999</v>
      </c>
      <c r="P23" s="64">
        <f t="shared" si="11"/>
        <v>3.5434199999999998</v>
      </c>
      <c r="Q23" s="64">
        <f t="shared" si="12"/>
        <v>0.59057000000000004</v>
      </c>
      <c r="R23" s="64">
        <f t="shared" si="13"/>
        <v>3.838705</v>
      </c>
      <c r="S23" s="64">
        <f t="shared" si="14"/>
        <v>6.49627</v>
      </c>
      <c r="T23" s="64">
        <f t="shared" si="15"/>
        <v>4.4292749999999996</v>
      </c>
      <c r="U23" s="64">
        <f t="shared" si="16"/>
        <v>0.88585499999999995</v>
      </c>
      <c r="V23" s="64">
        <f t="shared" si="17"/>
        <v>0.14764250000000001</v>
      </c>
      <c r="W23" s="64">
        <f t="shared" si="18"/>
        <v>5.6104149999999997</v>
      </c>
      <c r="X23" s="64">
        <f t="shared" si="19"/>
        <v>9.4491200000000006</v>
      </c>
      <c r="Y23" s="64">
        <f t="shared" si="20"/>
        <v>4.4292749999999996</v>
      </c>
      <c r="Z23" s="64">
        <f t="shared" si="21"/>
        <v>0</v>
      </c>
      <c r="AA23" s="64">
        <f t="shared" si="22"/>
        <v>0</v>
      </c>
      <c r="AB23" s="64">
        <f t="shared" si="23"/>
        <v>8.2679799999999997</v>
      </c>
      <c r="AC23" s="64">
        <f t="shared" si="24"/>
        <v>23.918085000000001</v>
      </c>
      <c r="AD23" s="64">
        <f t="shared" si="25"/>
        <v>8.8585499999999993</v>
      </c>
      <c r="AE23" s="64">
        <f t="shared" si="26"/>
        <v>2.657565</v>
      </c>
      <c r="AF23" s="64">
        <f t="shared" si="27"/>
        <v>0.44292749999999997</v>
      </c>
      <c r="AG23" s="65">
        <f t="shared" si="28"/>
        <v>69.641999999999996</v>
      </c>
      <c r="AH23" s="65">
        <f t="shared" si="29"/>
        <v>156.69450000000001</v>
      </c>
      <c r="AI23" s="65">
        <f t="shared" si="30"/>
        <v>69.641999999999996</v>
      </c>
      <c r="AJ23" s="65">
        <f t="shared" si="31"/>
        <v>13.9284</v>
      </c>
      <c r="AK23" s="65">
        <f t="shared" si="32"/>
        <v>2.3214000000000001</v>
      </c>
      <c r="AL23" s="66">
        <v>0.9</v>
      </c>
      <c r="AM23" s="66">
        <v>0.75</v>
      </c>
      <c r="AN23" s="66">
        <v>0.9</v>
      </c>
      <c r="AO23" s="66">
        <v>0.1</v>
      </c>
      <c r="AP23" s="66">
        <v>0.1</v>
      </c>
      <c r="AQ23" s="65">
        <f t="shared" si="33"/>
        <v>66.132634500000009</v>
      </c>
      <c r="AR23" s="65">
        <f t="shared" si="34"/>
        <v>122.3930775</v>
      </c>
      <c r="AS23" s="65">
        <f t="shared" si="35"/>
        <v>66.664147499999999</v>
      </c>
      <c r="AT23" s="65">
        <f t="shared" si="36"/>
        <v>1.4814255000000001</v>
      </c>
      <c r="AU23" s="65">
        <f t="shared" si="37"/>
        <v>0.24690425000000002</v>
      </c>
      <c r="AV23" s="65">
        <f t="shared" si="38"/>
        <v>7.3480704999999915</v>
      </c>
      <c r="AW23" s="65">
        <f t="shared" si="39"/>
        <v>40.797692500000011</v>
      </c>
      <c r="AX23" s="65">
        <f t="shared" si="40"/>
        <v>7.4071275000000014</v>
      </c>
      <c r="AY23" s="65">
        <f t="shared" si="41"/>
        <v>13.332829499999999</v>
      </c>
      <c r="AZ23" s="65">
        <f t="shared" si="42"/>
        <v>2.22213825</v>
      </c>
      <c r="BA23" s="67">
        <f t="shared" si="43"/>
        <v>87.359099999999998</v>
      </c>
      <c r="BB23" s="67">
        <f t="shared" si="44"/>
        <v>196.557975</v>
      </c>
      <c r="BC23" s="67">
        <f t="shared" si="45"/>
        <v>87.359099999999998</v>
      </c>
      <c r="BD23" s="68">
        <f t="shared" si="46"/>
        <v>17.471820000000001</v>
      </c>
      <c r="BE23" s="68">
        <f t="shared" si="47"/>
        <v>2.9119700000000002</v>
      </c>
      <c r="BF23" s="67">
        <f t="shared" si="48"/>
        <v>15.616050499999991</v>
      </c>
      <c r="BG23" s="67">
        <f t="shared" si="49"/>
        <v>64.715777500000016</v>
      </c>
      <c r="BH23" s="67">
        <f t="shared" si="50"/>
        <v>16.265677500000002</v>
      </c>
      <c r="BI23" s="68">
        <f t="shared" si="51"/>
        <v>15.990394499999999</v>
      </c>
      <c r="BJ23" s="68">
        <f t="shared" si="52"/>
        <v>2.6650657500000001</v>
      </c>
      <c r="BK23" s="67">
        <f t="shared" si="53"/>
        <v>71.743049500000012</v>
      </c>
      <c r="BL23" s="67">
        <f t="shared" si="54"/>
        <v>131.8421975</v>
      </c>
      <c r="BM23" s="67">
        <f t="shared" si="55"/>
        <v>71.093422500000003</v>
      </c>
      <c r="BN23" s="68">
        <f t="shared" si="56"/>
        <v>1.4814255000000001</v>
      </c>
      <c r="BO23" s="187">
        <f t="shared" si="57"/>
        <v>0.24690425000000002</v>
      </c>
      <c r="BP23" s="157"/>
      <c r="BQ23" s="148"/>
      <c r="BR23" s="148"/>
      <c r="BS23" s="148"/>
      <c r="BT23" s="148"/>
      <c r="BU23" s="148"/>
      <c r="BV23" s="151">
        <v>1273920</v>
      </c>
      <c r="BW23" s="150">
        <f t="shared" si="80"/>
        <v>1337616</v>
      </c>
      <c r="BX23" s="150">
        <f t="shared" si="66"/>
        <v>1536920.78</v>
      </c>
      <c r="BY23" s="150">
        <f t="shared" si="67"/>
        <v>1543068.46</v>
      </c>
      <c r="BZ23" s="155">
        <f t="shared" si="68"/>
        <v>1578559.03</v>
      </c>
      <c r="CA23" s="179">
        <f t="shared" si="68"/>
        <v>1614865.8900000001</v>
      </c>
      <c r="CB23" s="203">
        <f t="shared" si="58"/>
        <v>153412.25955000002</v>
      </c>
      <c r="CC23" s="198">
        <f t="shared" si="69"/>
        <v>1652007.81</v>
      </c>
      <c r="CD23" s="206">
        <f t="shared" si="59"/>
        <v>156940.74195</v>
      </c>
      <c r="CE23" s="150">
        <f t="shared" si="70"/>
        <v>1690003.99</v>
      </c>
      <c r="CF23" s="206">
        <f t="shared" si="60"/>
        <v>160550.37904999999</v>
      </c>
      <c r="CG23" s="150">
        <f t="shared" si="71"/>
        <v>1728874.08</v>
      </c>
      <c r="CH23" s="206">
        <f t="shared" si="61"/>
        <v>164243.03760000001</v>
      </c>
      <c r="CI23" s="150">
        <f t="shared" si="72"/>
        <v>1768638.1800000002</v>
      </c>
      <c r="CJ23" s="206">
        <f t="shared" si="62"/>
        <v>168020.62710000001</v>
      </c>
      <c r="CK23" s="150">
        <f t="shared" si="73"/>
        <v>1809316.86</v>
      </c>
      <c r="CL23" s="206">
        <f t="shared" si="63"/>
        <v>171885.1017</v>
      </c>
      <c r="CM23" s="150">
        <f t="shared" si="74"/>
        <v>1850931.1500000001</v>
      </c>
      <c r="CN23" s="150">
        <f t="shared" si="75"/>
        <v>1893502.57</v>
      </c>
      <c r="CO23" s="157"/>
      <c r="CP23" s="148"/>
      <c r="CQ23" s="148"/>
      <c r="CR23" s="148"/>
      <c r="CS23" s="148"/>
      <c r="CT23" s="148"/>
      <c r="CU23" s="151">
        <v>317000</v>
      </c>
      <c r="CV23" s="150">
        <f t="shared" si="81"/>
        <v>332850</v>
      </c>
      <c r="CW23" s="150">
        <f t="shared" ref="CW23:DG23" si="93">CV23+ROUND(CV23*CW$6,2)</f>
        <v>382444.65</v>
      </c>
      <c r="CX23" s="150">
        <f t="shared" si="93"/>
        <v>383974.43000000005</v>
      </c>
      <c r="CY23" s="150">
        <f t="shared" si="93"/>
        <v>392805.84</v>
      </c>
      <c r="CZ23" s="155">
        <f t="shared" si="93"/>
        <v>402625.99000000005</v>
      </c>
      <c r="DA23" s="155">
        <f t="shared" si="93"/>
        <v>412691.64000000007</v>
      </c>
      <c r="DB23" s="155">
        <f t="shared" si="93"/>
        <v>423008.93000000005</v>
      </c>
      <c r="DC23" s="155">
        <f t="shared" si="93"/>
        <v>433584.15</v>
      </c>
      <c r="DD23" s="155">
        <f t="shared" si="93"/>
        <v>444423.75</v>
      </c>
      <c r="DE23" s="155">
        <f t="shared" si="93"/>
        <v>455534.34</v>
      </c>
      <c r="DF23" s="155">
        <f t="shared" si="93"/>
        <v>466922.7</v>
      </c>
      <c r="DG23" s="155">
        <f t="shared" si="93"/>
        <v>478595.77</v>
      </c>
      <c r="DH23" s="236">
        <v>0</v>
      </c>
      <c r="DI23" s="243">
        <f t="shared" si="77"/>
        <v>1614865.8900000001</v>
      </c>
      <c r="DJ23" s="248">
        <f t="shared" si="65"/>
        <v>1996.1259456118667</v>
      </c>
      <c r="DK23" s="382">
        <f>CA23/'1.piel'!M22</f>
        <v>1996.1259456118667</v>
      </c>
      <c r="DL23">
        <f>DH23/'1.piel'!G22</f>
        <v>0</v>
      </c>
    </row>
    <row r="24" spans="2:117" x14ac:dyDescent="0.25">
      <c r="B24" s="52">
        <v>47</v>
      </c>
      <c r="C24" s="53" t="s">
        <v>92</v>
      </c>
      <c r="D24" s="40" t="s">
        <v>250</v>
      </c>
      <c r="E24" s="110">
        <v>3343</v>
      </c>
      <c r="F24" s="178">
        <v>3732</v>
      </c>
      <c r="G24" s="36">
        <v>81</v>
      </c>
      <c r="H24" s="99">
        <f t="shared" si="4"/>
        <v>3813</v>
      </c>
      <c r="I24" s="94">
        <f t="shared" si="5"/>
        <v>0.69989281886388</v>
      </c>
      <c r="J24" s="89">
        <v>2612</v>
      </c>
      <c r="K24" s="98">
        <f t="shared" si="6"/>
        <v>0.30010718113612006</v>
      </c>
      <c r="L24" s="99">
        <f t="shared" si="7"/>
        <v>1120</v>
      </c>
      <c r="M24" s="174">
        <f t="shared" si="8"/>
        <v>24.527999999999999</v>
      </c>
      <c r="N24" s="64">
        <f t="shared" si="9"/>
        <v>55.188000000000002</v>
      </c>
      <c r="O24" s="64">
        <f t="shared" si="10"/>
        <v>24.527999999999999</v>
      </c>
      <c r="P24" s="64">
        <f t="shared" si="11"/>
        <v>4.9055999999999997</v>
      </c>
      <c r="Q24" s="64">
        <f t="shared" si="12"/>
        <v>0.81759999999999999</v>
      </c>
      <c r="R24" s="64">
        <f t="shared" si="13"/>
        <v>5.3144</v>
      </c>
      <c r="S24" s="64">
        <f t="shared" si="14"/>
        <v>8.9936000000000007</v>
      </c>
      <c r="T24" s="64">
        <f t="shared" si="15"/>
        <v>6.1319999999999997</v>
      </c>
      <c r="U24" s="64">
        <f t="shared" si="16"/>
        <v>1.2263999999999999</v>
      </c>
      <c r="V24" s="64">
        <f t="shared" si="17"/>
        <v>0.2044</v>
      </c>
      <c r="W24" s="64">
        <f t="shared" si="18"/>
        <v>7.7671999999999999</v>
      </c>
      <c r="X24" s="64">
        <f t="shared" si="19"/>
        <v>13.0816</v>
      </c>
      <c r="Y24" s="64">
        <f t="shared" si="20"/>
        <v>6.1319999999999997</v>
      </c>
      <c r="Z24" s="64">
        <f t="shared" si="21"/>
        <v>0</v>
      </c>
      <c r="AA24" s="64">
        <f t="shared" si="22"/>
        <v>0</v>
      </c>
      <c r="AB24" s="64">
        <f t="shared" si="23"/>
        <v>11.446400000000001</v>
      </c>
      <c r="AC24" s="64">
        <f t="shared" si="24"/>
        <v>33.1128</v>
      </c>
      <c r="AD24" s="64">
        <f t="shared" si="25"/>
        <v>12.263999999999999</v>
      </c>
      <c r="AE24" s="64">
        <f t="shared" si="26"/>
        <v>3.6791999999999998</v>
      </c>
      <c r="AF24" s="64">
        <f t="shared" si="27"/>
        <v>0.61319999999999997</v>
      </c>
      <c r="AG24" s="65">
        <f t="shared" si="28"/>
        <v>58.976700000000001</v>
      </c>
      <c r="AH24" s="65">
        <f t="shared" si="29"/>
        <v>132.697575</v>
      </c>
      <c r="AI24" s="65">
        <f t="shared" si="30"/>
        <v>58.976700000000001</v>
      </c>
      <c r="AJ24" s="65">
        <f t="shared" si="31"/>
        <v>11.795339999999999</v>
      </c>
      <c r="AK24" s="65">
        <f t="shared" si="32"/>
        <v>1.9658899999999999</v>
      </c>
      <c r="AL24" s="66">
        <v>0.9</v>
      </c>
      <c r="AM24" s="66">
        <v>0.75</v>
      </c>
      <c r="AN24" s="66">
        <v>0.9</v>
      </c>
      <c r="AO24" s="66">
        <v>0.1</v>
      </c>
      <c r="AP24" s="66">
        <v>0.1</v>
      </c>
      <c r="AQ24" s="65">
        <f t="shared" si="33"/>
        <v>57.861989999999999</v>
      </c>
      <c r="AR24" s="65">
        <f t="shared" si="34"/>
        <v>106.26838124999999</v>
      </c>
      <c r="AS24" s="65">
        <f t="shared" si="35"/>
        <v>58.597830000000002</v>
      </c>
      <c r="AT24" s="65">
        <f t="shared" si="36"/>
        <v>1.3021739999999999</v>
      </c>
      <c r="AU24" s="65">
        <f t="shared" si="37"/>
        <v>0.21702900000000003</v>
      </c>
      <c r="AV24" s="65">
        <f t="shared" si="38"/>
        <v>6.4291100000000014</v>
      </c>
      <c r="AW24" s="65">
        <f t="shared" si="39"/>
        <v>35.422793749999997</v>
      </c>
      <c r="AX24" s="65">
        <f t="shared" si="40"/>
        <v>6.510869999999997</v>
      </c>
      <c r="AY24" s="65">
        <f t="shared" si="41"/>
        <v>11.719566</v>
      </c>
      <c r="AZ24" s="65">
        <f t="shared" si="42"/>
        <v>1.9532609999999999</v>
      </c>
      <c r="BA24" s="67">
        <f t="shared" si="43"/>
        <v>83.5047</v>
      </c>
      <c r="BB24" s="67">
        <f t="shared" si="44"/>
        <v>187.88557500000002</v>
      </c>
      <c r="BC24" s="67">
        <f t="shared" si="45"/>
        <v>83.5047</v>
      </c>
      <c r="BD24" s="68">
        <f t="shared" si="46"/>
        <v>16.700939999999999</v>
      </c>
      <c r="BE24" s="68">
        <f t="shared" si="47"/>
        <v>2.78349</v>
      </c>
      <c r="BF24" s="67">
        <f t="shared" si="48"/>
        <v>17.875510000000002</v>
      </c>
      <c r="BG24" s="67">
        <f t="shared" si="49"/>
        <v>68.535593750000004</v>
      </c>
      <c r="BH24" s="67">
        <f t="shared" si="50"/>
        <v>18.774869999999996</v>
      </c>
      <c r="BI24" s="68">
        <f t="shared" si="51"/>
        <v>15.398766</v>
      </c>
      <c r="BJ24" s="68">
        <f t="shared" si="52"/>
        <v>2.5664609999999999</v>
      </c>
      <c r="BK24" s="67">
        <f t="shared" si="53"/>
        <v>65.629189999999994</v>
      </c>
      <c r="BL24" s="67">
        <f t="shared" si="54"/>
        <v>119.34998124999998</v>
      </c>
      <c r="BM24" s="67">
        <f t="shared" si="55"/>
        <v>64.729830000000007</v>
      </c>
      <c r="BN24" s="68">
        <f t="shared" si="56"/>
        <v>1.3021739999999999</v>
      </c>
      <c r="BO24" s="187">
        <f t="shared" si="57"/>
        <v>0.21702900000000003</v>
      </c>
      <c r="BP24" s="157"/>
      <c r="BQ24" s="148"/>
      <c r="BR24" s="148"/>
      <c r="BS24" s="148"/>
      <c r="BT24" s="148"/>
      <c r="BU24" s="148"/>
      <c r="BV24" s="151">
        <v>763250</v>
      </c>
      <c r="BW24" s="150">
        <f t="shared" si="80"/>
        <v>801412.5</v>
      </c>
      <c r="BX24" s="150">
        <f t="shared" si="66"/>
        <v>920822.96</v>
      </c>
      <c r="BY24" s="150">
        <f t="shared" si="67"/>
        <v>924506.25</v>
      </c>
      <c r="BZ24" s="155">
        <f t="shared" si="68"/>
        <v>945769.89</v>
      </c>
      <c r="CA24" s="179">
        <f t="shared" si="68"/>
        <v>967522.6</v>
      </c>
      <c r="CB24" s="203">
        <f t="shared" si="58"/>
        <v>91914.646999999997</v>
      </c>
      <c r="CC24" s="198">
        <f t="shared" si="69"/>
        <v>989775.62</v>
      </c>
      <c r="CD24" s="206">
        <f t="shared" si="59"/>
        <v>94028.683900000004</v>
      </c>
      <c r="CE24" s="150">
        <f t="shared" si="70"/>
        <v>1012540.46</v>
      </c>
      <c r="CF24" s="206">
        <f t="shared" si="60"/>
        <v>96191.343699999998</v>
      </c>
      <c r="CG24" s="150">
        <f t="shared" si="71"/>
        <v>1035828.89</v>
      </c>
      <c r="CH24" s="206">
        <f t="shared" si="61"/>
        <v>98403.744550000003</v>
      </c>
      <c r="CI24" s="150">
        <f t="shared" si="72"/>
        <v>1059652.95</v>
      </c>
      <c r="CJ24" s="206">
        <f t="shared" si="62"/>
        <v>100667.03025</v>
      </c>
      <c r="CK24" s="150">
        <f t="shared" si="73"/>
        <v>1084024.97</v>
      </c>
      <c r="CL24" s="206">
        <f t="shared" si="63"/>
        <v>102982.37215</v>
      </c>
      <c r="CM24" s="150">
        <f t="shared" si="74"/>
        <v>1108957.54</v>
      </c>
      <c r="CN24" s="150">
        <f t="shared" si="75"/>
        <v>1134463.56</v>
      </c>
      <c r="CO24" s="157"/>
      <c r="CP24" s="148"/>
      <c r="CQ24" s="148"/>
      <c r="CR24" s="148"/>
      <c r="CS24" s="148"/>
      <c r="CT24" s="148"/>
      <c r="CU24" s="151">
        <v>74000</v>
      </c>
      <c r="CV24" s="150">
        <f t="shared" si="81"/>
        <v>77700</v>
      </c>
      <c r="CW24" s="150">
        <f t="shared" ref="CW24:DG24" si="94">CV24+ROUND(CV24*CW$6,2)</f>
        <v>89277.3</v>
      </c>
      <c r="CX24" s="150">
        <f t="shared" si="94"/>
        <v>89634.41</v>
      </c>
      <c r="CY24" s="150">
        <f t="shared" si="94"/>
        <v>91696</v>
      </c>
      <c r="CZ24" s="155">
        <f t="shared" si="94"/>
        <v>93988.4</v>
      </c>
      <c r="DA24" s="155">
        <f t="shared" si="94"/>
        <v>96338.11</v>
      </c>
      <c r="DB24" s="155">
        <f t="shared" si="94"/>
        <v>98746.559999999998</v>
      </c>
      <c r="DC24" s="155">
        <f t="shared" si="94"/>
        <v>101215.22</v>
      </c>
      <c r="DD24" s="155">
        <f t="shared" si="94"/>
        <v>103745.60000000001</v>
      </c>
      <c r="DE24" s="155">
        <f t="shared" si="94"/>
        <v>106339.24</v>
      </c>
      <c r="DF24" s="155">
        <f t="shared" si="94"/>
        <v>108997.72</v>
      </c>
      <c r="DG24" s="155">
        <f t="shared" si="94"/>
        <v>111722.66</v>
      </c>
      <c r="DH24" s="236">
        <v>0</v>
      </c>
      <c r="DI24" s="243">
        <f t="shared" si="77"/>
        <v>967522.6</v>
      </c>
      <c r="DJ24" s="248">
        <f t="shared" si="65"/>
        <v>863.85946428571424</v>
      </c>
      <c r="DK24" s="382">
        <f>CA24/'1.piel'!M23</f>
        <v>863.85946428571424</v>
      </c>
      <c r="DL24">
        <f>DH24/'1.piel'!G23</f>
        <v>0</v>
      </c>
    </row>
    <row r="25" spans="2:117" x14ac:dyDescent="0.25">
      <c r="B25" s="52">
        <v>50</v>
      </c>
      <c r="C25" s="53" t="s">
        <v>95</v>
      </c>
      <c r="D25" s="36" t="s">
        <v>250</v>
      </c>
      <c r="E25" s="110">
        <v>3106</v>
      </c>
      <c r="F25" s="178">
        <v>3315</v>
      </c>
      <c r="G25" s="36">
        <v>429</v>
      </c>
      <c r="H25" s="99">
        <f t="shared" si="4"/>
        <v>3744</v>
      </c>
      <c r="I25" s="94">
        <f t="shared" si="5"/>
        <v>0.74992458521870287</v>
      </c>
      <c r="J25" s="89">
        <v>2486</v>
      </c>
      <c r="K25" s="98">
        <f t="shared" si="6"/>
        <v>0.25007541478129713</v>
      </c>
      <c r="L25" s="99">
        <f t="shared" si="7"/>
        <v>829</v>
      </c>
      <c r="M25" s="174">
        <f t="shared" si="8"/>
        <v>18.155100000000001</v>
      </c>
      <c r="N25" s="64">
        <f t="shared" si="9"/>
        <v>40.848975000000003</v>
      </c>
      <c r="O25" s="64">
        <f t="shared" si="10"/>
        <v>18.155100000000001</v>
      </c>
      <c r="P25" s="64">
        <f t="shared" si="11"/>
        <v>3.6310199999999999</v>
      </c>
      <c r="Q25" s="64">
        <f t="shared" si="12"/>
        <v>0.60516999999999999</v>
      </c>
      <c r="R25" s="64">
        <f t="shared" si="13"/>
        <v>3.933605</v>
      </c>
      <c r="S25" s="64">
        <f t="shared" si="14"/>
        <v>6.6568699999999996</v>
      </c>
      <c r="T25" s="64">
        <f t="shared" si="15"/>
        <v>4.5387750000000002</v>
      </c>
      <c r="U25" s="64">
        <f t="shared" si="16"/>
        <v>0.90775499999999998</v>
      </c>
      <c r="V25" s="64">
        <f t="shared" si="17"/>
        <v>0.1512925</v>
      </c>
      <c r="W25" s="64">
        <f t="shared" si="18"/>
        <v>5.7491149999999998</v>
      </c>
      <c r="X25" s="64">
        <f t="shared" si="19"/>
        <v>9.6827199999999998</v>
      </c>
      <c r="Y25" s="64">
        <f t="shared" si="20"/>
        <v>4.5387750000000002</v>
      </c>
      <c r="Z25" s="64">
        <f t="shared" si="21"/>
        <v>0</v>
      </c>
      <c r="AA25" s="64">
        <f t="shared" si="22"/>
        <v>0</v>
      </c>
      <c r="AB25" s="64">
        <f t="shared" si="23"/>
        <v>8.4723799999999994</v>
      </c>
      <c r="AC25" s="64">
        <f t="shared" si="24"/>
        <v>24.509385000000002</v>
      </c>
      <c r="AD25" s="64">
        <f t="shared" si="25"/>
        <v>9.0775500000000005</v>
      </c>
      <c r="AE25" s="64">
        <f t="shared" si="26"/>
        <v>2.723265</v>
      </c>
      <c r="AF25" s="64">
        <f t="shared" si="27"/>
        <v>0.45387749999999999</v>
      </c>
      <c r="AG25" s="65">
        <f t="shared" si="28"/>
        <v>63.838500000000003</v>
      </c>
      <c r="AH25" s="65">
        <f t="shared" si="29"/>
        <v>143.63662500000001</v>
      </c>
      <c r="AI25" s="65">
        <f t="shared" si="30"/>
        <v>63.838500000000003</v>
      </c>
      <c r="AJ25" s="65">
        <f t="shared" si="31"/>
        <v>12.7677</v>
      </c>
      <c r="AK25" s="65">
        <f t="shared" si="32"/>
        <v>2.1279499999999998</v>
      </c>
      <c r="AL25" s="66">
        <v>0.9</v>
      </c>
      <c r="AM25" s="66">
        <v>0.75</v>
      </c>
      <c r="AN25" s="66">
        <v>0.9</v>
      </c>
      <c r="AO25" s="66">
        <v>0.1</v>
      </c>
      <c r="AP25" s="66">
        <v>0.1</v>
      </c>
      <c r="AQ25" s="65">
        <f t="shared" si="33"/>
        <v>60.994894500000008</v>
      </c>
      <c r="AR25" s="65">
        <f t="shared" si="34"/>
        <v>112.72012125000001</v>
      </c>
      <c r="AS25" s="65">
        <f t="shared" si="35"/>
        <v>61.539547499999998</v>
      </c>
      <c r="AT25" s="65">
        <f t="shared" si="36"/>
        <v>1.3675455000000001</v>
      </c>
      <c r="AU25" s="65">
        <f t="shared" si="37"/>
        <v>0.22792424999999997</v>
      </c>
      <c r="AV25" s="65">
        <f t="shared" si="38"/>
        <v>6.7772105000000025</v>
      </c>
      <c r="AW25" s="65">
        <f t="shared" si="39"/>
        <v>37.573373750000002</v>
      </c>
      <c r="AX25" s="65">
        <f t="shared" si="40"/>
        <v>6.8377274999999997</v>
      </c>
      <c r="AY25" s="65">
        <f t="shared" si="41"/>
        <v>12.307909499999999</v>
      </c>
      <c r="AZ25" s="65">
        <f t="shared" si="42"/>
        <v>2.0513182499999996</v>
      </c>
      <c r="BA25" s="67">
        <f t="shared" si="43"/>
        <v>81.993600000000001</v>
      </c>
      <c r="BB25" s="67">
        <f t="shared" si="44"/>
        <v>184.48560000000001</v>
      </c>
      <c r="BC25" s="67">
        <f t="shared" si="45"/>
        <v>81.993600000000001</v>
      </c>
      <c r="BD25" s="68">
        <f t="shared" si="46"/>
        <v>16.398720000000001</v>
      </c>
      <c r="BE25" s="68">
        <f t="shared" si="47"/>
        <v>2.7331199999999995</v>
      </c>
      <c r="BF25" s="67">
        <f t="shared" si="48"/>
        <v>15.249590500000002</v>
      </c>
      <c r="BG25" s="67">
        <f t="shared" si="49"/>
        <v>62.082758750000004</v>
      </c>
      <c r="BH25" s="67">
        <f t="shared" si="50"/>
        <v>15.9152775</v>
      </c>
      <c r="BI25" s="68">
        <f t="shared" si="51"/>
        <v>15.031174499999999</v>
      </c>
      <c r="BJ25" s="68">
        <f t="shared" si="52"/>
        <v>2.5051957499999995</v>
      </c>
      <c r="BK25" s="67">
        <f t="shared" si="53"/>
        <v>66.744009500000004</v>
      </c>
      <c r="BL25" s="67">
        <f t="shared" si="54"/>
        <v>122.40284125000001</v>
      </c>
      <c r="BM25" s="67">
        <f t="shared" si="55"/>
        <v>66.078322499999999</v>
      </c>
      <c r="BN25" s="68">
        <f t="shared" si="56"/>
        <v>1.3675455000000001</v>
      </c>
      <c r="BO25" s="187">
        <f t="shared" si="57"/>
        <v>0.22792424999999997</v>
      </c>
      <c r="BP25" s="157"/>
      <c r="BQ25" s="148"/>
      <c r="BR25" s="148"/>
      <c r="BS25" s="148"/>
      <c r="BT25" s="148"/>
      <c r="BU25" s="148"/>
      <c r="BV25" s="151">
        <v>996000</v>
      </c>
      <c r="BW25" s="150">
        <f t="shared" si="80"/>
        <v>1045800</v>
      </c>
      <c r="BX25" s="150">
        <f t="shared" si="66"/>
        <v>1201624.2</v>
      </c>
      <c r="BY25" s="150">
        <f t="shared" si="67"/>
        <v>1206430.7</v>
      </c>
      <c r="BZ25" s="155">
        <f t="shared" si="68"/>
        <v>1234178.6099999999</v>
      </c>
      <c r="CA25" s="179">
        <f t="shared" si="68"/>
        <v>1262564.72</v>
      </c>
      <c r="CB25" s="203">
        <f t="shared" si="58"/>
        <v>119943.64840000001</v>
      </c>
      <c r="CC25" s="198">
        <f t="shared" si="69"/>
        <v>1291603.71</v>
      </c>
      <c r="CD25" s="206">
        <f t="shared" si="59"/>
        <v>122702.35244999999</v>
      </c>
      <c r="CE25" s="150">
        <f t="shared" si="70"/>
        <v>1321310.5999999999</v>
      </c>
      <c r="CF25" s="206">
        <f t="shared" si="60"/>
        <v>125524.50699999998</v>
      </c>
      <c r="CG25" s="150">
        <f t="shared" si="71"/>
        <v>1351700.7399999998</v>
      </c>
      <c r="CH25" s="206">
        <f t="shared" si="61"/>
        <v>128411.57029999998</v>
      </c>
      <c r="CI25" s="150">
        <f t="shared" si="72"/>
        <v>1382789.8599999999</v>
      </c>
      <c r="CJ25" s="206">
        <f t="shared" si="62"/>
        <v>131365.0367</v>
      </c>
      <c r="CK25" s="150">
        <f t="shared" si="73"/>
        <v>1414594.0299999998</v>
      </c>
      <c r="CL25" s="206">
        <f t="shared" si="63"/>
        <v>134386.43284999998</v>
      </c>
      <c r="CM25" s="150">
        <f t="shared" si="74"/>
        <v>1447129.6899999997</v>
      </c>
      <c r="CN25" s="150">
        <f t="shared" si="75"/>
        <v>1480413.6699999997</v>
      </c>
      <c r="CO25" s="157"/>
      <c r="CP25" s="148"/>
      <c r="CQ25" s="148"/>
      <c r="CR25" s="148"/>
      <c r="CS25" s="148"/>
      <c r="CT25" s="148"/>
      <c r="CU25" s="151">
        <v>500000</v>
      </c>
      <c r="CV25" s="150">
        <f t="shared" si="81"/>
        <v>525000</v>
      </c>
      <c r="CW25" s="150">
        <f t="shared" ref="CW25:DG25" si="95">CV25+ROUND(CV25*CW$6,2)</f>
        <v>603225</v>
      </c>
      <c r="CX25" s="150">
        <f t="shared" si="95"/>
        <v>605637.9</v>
      </c>
      <c r="CY25" s="150">
        <f t="shared" si="95"/>
        <v>619567.57000000007</v>
      </c>
      <c r="CZ25" s="155">
        <f t="shared" si="95"/>
        <v>635056.76</v>
      </c>
      <c r="DA25" s="155">
        <f t="shared" si="95"/>
        <v>650933.18000000005</v>
      </c>
      <c r="DB25" s="155">
        <f t="shared" si="95"/>
        <v>667206.51</v>
      </c>
      <c r="DC25" s="155">
        <f t="shared" si="95"/>
        <v>683886.67</v>
      </c>
      <c r="DD25" s="155">
        <f t="shared" si="95"/>
        <v>700983.84000000008</v>
      </c>
      <c r="DE25" s="155">
        <f t="shared" si="95"/>
        <v>718508.44000000006</v>
      </c>
      <c r="DF25" s="155">
        <f t="shared" si="95"/>
        <v>736471.15</v>
      </c>
      <c r="DG25" s="155">
        <f t="shared" si="95"/>
        <v>754882.93</v>
      </c>
      <c r="DH25" s="236">
        <v>0</v>
      </c>
      <c r="DI25" s="243">
        <f t="shared" si="77"/>
        <v>1262564.72</v>
      </c>
      <c r="DJ25" s="248">
        <f t="shared" si="65"/>
        <v>1522.9972496984319</v>
      </c>
      <c r="DK25" s="382">
        <f>CA25/'1.piel'!M24</f>
        <v>1522.9972496984319</v>
      </c>
      <c r="DL25">
        <f>DH25/'1.piel'!G24</f>
        <v>0</v>
      </c>
    </row>
    <row r="26" spans="2:117" x14ac:dyDescent="0.25">
      <c r="B26" s="52">
        <v>54</v>
      </c>
      <c r="C26" s="53" t="s">
        <v>104</v>
      </c>
      <c r="D26" s="36" t="s">
        <v>250</v>
      </c>
      <c r="E26" s="110">
        <v>2898</v>
      </c>
      <c r="F26" s="178">
        <v>3287</v>
      </c>
      <c r="G26" s="36">
        <v>401</v>
      </c>
      <c r="H26" s="99">
        <f t="shared" si="4"/>
        <v>3688</v>
      </c>
      <c r="I26" s="94">
        <f t="shared" si="5"/>
        <v>1</v>
      </c>
      <c r="J26" s="89">
        <v>3287</v>
      </c>
      <c r="K26" s="98">
        <f t="shared" si="6"/>
        <v>0</v>
      </c>
      <c r="L26" s="99">
        <f t="shared" si="7"/>
        <v>0</v>
      </c>
      <c r="M26" s="174">
        <f t="shared" si="8"/>
        <v>0</v>
      </c>
      <c r="N26" s="64">
        <f t="shared" si="9"/>
        <v>0</v>
      </c>
      <c r="O26" s="64">
        <f t="shared" si="10"/>
        <v>0</v>
      </c>
      <c r="P26" s="64">
        <f t="shared" si="11"/>
        <v>0</v>
      </c>
      <c r="Q26" s="64">
        <f t="shared" si="12"/>
        <v>0</v>
      </c>
      <c r="R26" s="64">
        <f t="shared" si="13"/>
        <v>0</v>
      </c>
      <c r="S26" s="64">
        <f t="shared" si="14"/>
        <v>0</v>
      </c>
      <c r="T26" s="64">
        <f t="shared" si="15"/>
        <v>0</v>
      </c>
      <c r="U26" s="64">
        <f t="shared" si="16"/>
        <v>0</v>
      </c>
      <c r="V26" s="64">
        <f t="shared" si="17"/>
        <v>0</v>
      </c>
      <c r="W26" s="64">
        <f t="shared" si="18"/>
        <v>0</v>
      </c>
      <c r="X26" s="64">
        <f t="shared" si="19"/>
        <v>0</v>
      </c>
      <c r="Y26" s="64">
        <f t="shared" si="20"/>
        <v>0</v>
      </c>
      <c r="Z26" s="64">
        <f t="shared" si="21"/>
        <v>0</v>
      </c>
      <c r="AA26" s="64">
        <f t="shared" si="22"/>
        <v>0</v>
      </c>
      <c r="AB26" s="64">
        <f t="shared" si="23"/>
        <v>0</v>
      </c>
      <c r="AC26" s="64">
        <f t="shared" si="24"/>
        <v>0</v>
      </c>
      <c r="AD26" s="64">
        <f t="shared" si="25"/>
        <v>0</v>
      </c>
      <c r="AE26" s="64">
        <f t="shared" si="26"/>
        <v>0</v>
      </c>
      <c r="AF26" s="64">
        <f t="shared" si="27"/>
        <v>0</v>
      </c>
      <c r="AG26" s="65">
        <f t="shared" si="28"/>
        <v>80.767200000000003</v>
      </c>
      <c r="AH26" s="65">
        <f t="shared" si="29"/>
        <v>181.72620000000001</v>
      </c>
      <c r="AI26" s="65">
        <f t="shared" si="30"/>
        <v>80.767200000000003</v>
      </c>
      <c r="AJ26" s="65">
        <f t="shared" si="31"/>
        <v>16.15344</v>
      </c>
      <c r="AK26" s="65">
        <f t="shared" si="32"/>
        <v>2.69224</v>
      </c>
      <c r="AL26" s="66">
        <v>0.9</v>
      </c>
      <c r="AM26" s="66">
        <v>0.75</v>
      </c>
      <c r="AN26" s="66">
        <v>0.9</v>
      </c>
      <c r="AO26" s="66">
        <v>0.1</v>
      </c>
      <c r="AP26" s="66">
        <v>0.1</v>
      </c>
      <c r="AQ26" s="65">
        <f t="shared" si="33"/>
        <v>72.690480000000008</v>
      </c>
      <c r="AR26" s="65">
        <f t="shared" si="34"/>
        <v>136.29464999999999</v>
      </c>
      <c r="AS26" s="65">
        <f t="shared" si="35"/>
        <v>72.690480000000008</v>
      </c>
      <c r="AT26" s="65">
        <f t="shared" si="36"/>
        <v>1.6153440000000001</v>
      </c>
      <c r="AU26" s="65">
        <f t="shared" si="37"/>
        <v>0.26922400000000002</v>
      </c>
      <c r="AV26" s="65">
        <f t="shared" si="38"/>
        <v>8.0767199999999946</v>
      </c>
      <c r="AW26" s="65">
        <f t="shared" si="39"/>
        <v>45.431550000000016</v>
      </c>
      <c r="AX26" s="65">
        <f t="shared" si="40"/>
        <v>8.0767199999999946</v>
      </c>
      <c r="AY26" s="65">
        <f t="shared" si="41"/>
        <v>14.538095999999999</v>
      </c>
      <c r="AZ26" s="65">
        <f t="shared" si="42"/>
        <v>2.4230160000000001</v>
      </c>
      <c r="BA26" s="67">
        <f t="shared" si="43"/>
        <v>80.767200000000003</v>
      </c>
      <c r="BB26" s="67">
        <f t="shared" si="44"/>
        <v>181.72620000000001</v>
      </c>
      <c r="BC26" s="67">
        <f t="shared" si="45"/>
        <v>80.767200000000003</v>
      </c>
      <c r="BD26" s="68">
        <f t="shared" si="46"/>
        <v>16.15344</v>
      </c>
      <c r="BE26" s="68">
        <f t="shared" si="47"/>
        <v>2.69224</v>
      </c>
      <c r="BF26" s="67">
        <f t="shared" si="48"/>
        <v>8.0767199999999946</v>
      </c>
      <c r="BG26" s="67">
        <f t="shared" si="49"/>
        <v>45.431550000000016</v>
      </c>
      <c r="BH26" s="67">
        <f t="shared" si="50"/>
        <v>8.0767199999999946</v>
      </c>
      <c r="BI26" s="68">
        <f t="shared" si="51"/>
        <v>14.538095999999999</v>
      </c>
      <c r="BJ26" s="68">
        <f t="shared" si="52"/>
        <v>2.4230160000000001</v>
      </c>
      <c r="BK26" s="67">
        <f t="shared" si="53"/>
        <v>72.690480000000008</v>
      </c>
      <c r="BL26" s="67">
        <f t="shared" si="54"/>
        <v>136.29464999999999</v>
      </c>
      <c r="BM26" s="67">
        <f t="shared" si="55"/>
        <v>72.690480000000008</v>
      </c>
      <c r="BN26" s="68">
        <f t="shared" si="56"/>
        <v>1.6153440000000001</v>
      </c>
      <c r="BO26" s="187">
        <f t="shared" si="57"/>
        <v>0.26922400000000002</v>
      </c>
      <c r="BP26" s="157"/>
      <c r="BQ26" s="148"/>
      <c r="BR26" s="148"/>
      <c r="BS26" s="148"/>
      <c r="BT26" s="148"/>
      <c r="BU26" s="150"/>
      <c r="BV26" s="151">
        <v>0</v>
      </c>
      <c r="BW26" s="150">
        <f t="shared" si="80"/>
        <v>0</v>
      </c>
      <c r="BX26" s="150">
        <f t="shared" si="66"/>
        <v>0</v>
      </c>
      <c r="BY26" s="150">
        <f t="shared" si="67"/>
        <v>0</v>
      </c>
      <c r="BZ26" s="155">
        <f t="shared" si="68"/>
        <v>0</v>
      </c>
      <c r="CA26" s="179">
        <f t="shared" si="68"/>
        <v>0</v>
      </c>
      <c r="CB26" s="203">
        <f t="shared" si="58"/>
        <v>0</v>
      </c>
      <c r="CC26" s="198">
        <f t="shared" si="69"/>
        <v>0</v>
      </c>
      <c r="CD26" s="206">
        <f t="shared" si="59"/>
        <v>0</v>
      </c>
      <c r="CE26" s="150">
        <f t="shared" si="70"/>
        <v>0</v>
      </c>
      <c r="CF26" s="206">
        <f t="shared" si="60"/>
        <v>0</v>
      </c>
      <c r="CG26" s="150">
        <f t="shared" si="71"/>
        <v>0</v>
      </c>
      <c r="CH26" s="206">
        <f t="shared" si="61"/>
        <v>0</v>
      </c>
      <c r="CI26" s="150">
        <f t="shared" si="72"/>
        <v>0</v>
      </c>
      <c r="CJ26" s="206">
        <f t="shared" si="62"/>
        <v>0</v>
      </c>
      <c r="CK26" s="150">
        <f t="shared" si="73"/>
        <v>0</v>
      </c>
      <c r="CL26" s="206">
        <f t="shared" si="63"/>
        <v>0</v>
      </c>
      <c r="CM26" s="150">
        <f t="shared" si="74"/>
        <v>0</v>
      </c>
      <c r="CN26" s="150">
        <f t="shared" si="75"/>
        <v>0</v>
      </c>
      <c r="CO26" s="157"/>
      <c r="CP26" s="148"/>
      <c r="CQ26" s="148"/>
      <c r="CR26" s="148"/>
      <c r="CS26" s="148"/>
      <c r="CT26" s="148"/>
      <c r="CU26" s="151">
        <v>0</v>
      </c>
      <c r="CV26" s="150">
        <f t="shared" si="81"/>
        <v>0</v>
      </c>
      <c r="CW26" s="150">
        <f t="shared" ref="CW26:DG26" si="96">CV26+ROUND(CV26*CW$6,2)</f>
        <v>0</v>
      </c>
      <c r="CX26" s="150">
        <f t="shared" si="96"/>
        <v>0</v>
      </c>
      <c r="CY26" s="150">
        <f t="shared" si="96"/>
        <v>0</v>
      </c>
      <c r="CZ26" s="155">
        <f t="shared" si="96"/>
        <v>0</v>
      </c>
      <c r="DA26" s="155">
        <f t="shared" si="96"/>
        <v>0</v>
      </c>
      <c r="DB26" s="155">
        <f t="shared" si="96"/>
        <v>0</v>
      </c>
      <c r="DC26" s="155">
        <f t="shared" si="96"/>
        <v>0</v>
      </c>
      <c r="DD26" s="155">
        <f t="shared" si="96"/>
        <v>0</v>
      </c>
      <c r="DE26" s="155">
        <f t="shared" si="96"/>
        <v>0</v>
      </c>
      <c r="DF26" s="155">
        <f t="shared" si="96"/>
        <v>0</v>
      </c>
      <c r="DG26" s="155">
        <f t="shared" si="96"/>
        <v>0</v>
      </c>
      <c r="DH26" s="236">
        <v>0</v>
      </c>
      <c r="DI26" s="243">
        <f t="shared" si="77"/>
        <v>0</v>
      </c>
      <c r="DJ26" s="248">
        <f t="shared" si="65"/>
        <v>0</v>
      </c>
      <c r="DK26" s="382">
        <v>0</v>
      </c>
      <c r="DL26">
        <f>DH26/'1.piel'!G25</f>
        <v>0</v>
      </c>
    </row>
    <row r="27" spans="2:117" x14ac:dyDescent="0.25">
      <c r="B27" s="52">
        <v>55</v>
      </c>
      <c r="C27" s="53" t="s">
        <v>96</v>
      </c>
      <c r="D27" s="36" t="s">
        <v>250</v>
      </c>
      <c r="E27" s="110">
        <v>2873</v>
      </c>
      <c r="F27" s="178">
        <v>2003</v>
      </c>
      <c r="G27" s="36">
        <v>201</v>
      </c>
      <c r="H27" s="99">
        <f t="shared" si="4"/>
        <v>2204</v>
      </c>
      <c r="I27" s="94">
        <f t="shared" si="5"/>
        <v>1</v>
      </c>
      <c r="J27" s="89">
        <v>2003</v>
      </c>
      <c r="K27" s="98">
        <f t="shared" si="6"/>
        <v>0</v>
      </c>
      <c r="L27" s="99">
        <f t="shared" si="7"/>
        <v>0</v>
      </c>
      <c r="M27" s="174">
        <f t="shared" si="8"/>
        <v>0</v>
      </c>
      <c r="N27" s="64">
        <f t="shared" si="9"/>
        <v>0</v>
      </c>
      <c r="O27" s="64">
        <f t="shared" si="10"/>
        <v>0</v>
      </c>
      <c r="P27" s="64">
        <f t="shared" si="11"/>
        <v>0</v>
      </c>
      <c r="Q27" s="64">
        <f t="shared" si="12"/>
        <v>0</v>
      </c>
      <c r="R27" s="64">
        <f t="shared" si="13"/>
        <v>0</v>
      </c>
      <c r="S27" s="64">
        <f t="shared" si="14"/>
        <v>0</v>
      </c>
      <c r="T27" s="64">
        <f t="shared" si="15"/>
        <v>0</v>
      </c>
      <c r="U27" s="64">
        <f t="shared" si="16"/>
        <v>0</v>
      </c>
      <c r="V27" s="64">
        <f t="shared" si="17"/>
        <v>0</v>
      </c>
      <c r="W27" s="64">
        <f t="shared" si="18"/>
        <v>0</v>
      </c>
      <c r="X27" s="64">
        <f t="shared" si="19"/>
        <v>0</v>
      </c>
      <c r="Y27" s="64">
        <f t="shared" si="20"/>
        <v>0</v>
      </c>
      <c r="Z27" s="64">
        <f t="shared" si="21"/>
        <v>0</v>
      </c>
      <c r="AA27" s="64">
        <f t="shared" si="22"/>
        <v>0</v>
      </c>
      <c r="AB27" s="64">
        <f t="shared" si="23"/>
        <v>0</v>
      </c>
      <c r="AC27" s="64">
        <f t="shared" si="24"/>
        <v>0</v>
      </c>
      <c r="AD27" s="64">
        <f t="shared" si="25"/>
        <v>0</v>
      </c>
      <c r="AE27" s="64">
        <f t="shared" si="26"/>
        <v>0</v>
      </c>
      <c r="AF27" s="64">
        <f t="shared" si="27"/>
        <v>0</v>
      </c>
      <c r="AG27" s="65">
        <f t="shared" si="28"/>
        <v>48.267600000000002</v>
      </c>
      <c r="AH27" s="65">
        <f t="shared" si="29"/>
        <v>108.60209999999999</v>
      </c>
      <c r="AI27" s="65">
        <f t="shared" si="30"/>
        <v>48.267600000000002</v>
      </c>
      <c r="AJ27" s="65">
        <f t="shared" si="31"/>
        <v>9.6535200000000003</v>
      </c>
      <c r="AK27" s="65">
        <f t="shared" si="32"/>
        <v>1.6089199999999999</v>
      </c>
      <c r="AL27" s="66">
        <v>0.9</v>
      </c>
      <c r="AM27" s="66">
        <v>0.75</v>
      </c>
      <c r="AN27" s="66">
        <v>0.9</v>
      </c>
      <c r="AO27" s="66">
        <v>0.1</v>
      </c>
      <c r="AP27" s="66">
        <v>0.1</v>
      </c>
      <c r="AQ27" s="65">
        <f t="shared" si="33"/>
        <v>43.440840000000001</v>
      </c>
      <c r="AR27" s="65">
        <f t="shared" si="34"/>
        <v>81.451574999999991</v>
      </c>
      <c r="AS27" s="65">
        <f t="shared" si="35"/>
        <v>43.440840000000001</v>
      </c>
      <c r="AT27" s="65">
        <f t="shared" si="36"/>
        <v>0.9653520000000001</v>
      </c>
      <c r="AU27" s="65">
        <f t="shared" si="37"/>
        <v>0.16089200000000001</v>
      </c>
      <c r="AV27" s="65">
        <f t="shared" si="38"/>
        <v>4.8267600000000002</v>
      </c>
      <c r="AW27" s="65">
        <f t="shared" si="39"/>
        <v>27.150525000000002</v>
      </c>
      <c r="AX27" s="65">
        <f t="shared" si="40"/>
        <v>4.8267600000000002</v>
      </c>
      <c r="AY27" s="65">
        <f t="shared" si="41"/>
        <v>8.688168000000001</v>
      </c>
      <c r="AZ27" s="65">
        <f t="shared" si="42"/>
        <v>1.4480279999999999</v>
      </c>
      <c r="BA27" s="67">
        <f t="shared" si="43"/>
        <v>48.267600000000002</v>
      </c>
      <c r="BB27" s="67">
        <f t="shared" si="44"/>
        <v>108.60209999999999</v>
      </c>
      <c r="BC27" s="67">
        <f t="shared" si="45"/>
        <v>48.267600000000002</v>
      </c>
      <c r="BD27" s="68">
        <f t="shared" si="46"/>
        <v>9.6535200000000003</v>
      </c>
      <c r="BE27" s="68">
        <f t="shared" si="47"/>
        <v>1.6089199999999999</v>
      </c>
      <c r="BF27" s="67">
        <f t="shared" si="48"/>
        <v>4.8267600000000002</v>
      </c>
      <c r="BG27" s="67">
        <f t="shared" si="49"/>
        <v>27.150525000000002</v>
      </c>
      <c r="BH27" s="67">
        <f t="shared" si="50"/>
        <v>4.8267600000000002</v>
      </c>
      <c r="BI27" s="68">
        <f t="shared" si="51"/>
        <v>8.688168000000001</v>
      </c>
      <c r="BJ27" s="68">
        <f t="shared" si="52"/>
        <v>1.4480279999999999</v>
      </c>
      <c r="BK27" s="67">
        <f t="shared" si="53"/>
        <v>43.440840000000001</v>
      </c>
      <c r="BL27" s="67">
        <f t="shared" si="54"/>
        <v>81.451574999999991</v>
      </c>
      <c r="BM27" s="67">
        <f t="shared" si="55"/>
        <v>43.440840000000001</v>
      </c>
      <c r="BN27" s="68">
        <f t="shared" si="56"/>
        <v>0.9653520000000001</v>
      </c>
      <c r="BO27" s="187">
        <f t="shared" si="57"/>
        <v>0.16089200000000001</v>
      </c>
      <c r="BP27" s="157"/>
      <c r="BQ27" s="148"/>
      <c r="BR27" s="148"/>
      <c r="BS27" s="148"/>
      <c r="BT27" s="148"/>
      <c r="BU27" s="150"/>
      <c r="BV27" s="151">
        <v>0</v>
      </c>
      <c r="BW27" s="150">
        <f t="shared" si="80"/>
        <v>0</v>
      </c>
      <c r="BX27" s="150">
        <f t="shared" si="66"/>
        <v>0</v>
      </c>
      <c r="BY27" s="150">
        <f t="shared" si="67"/>
        <v>0</v>
      </c>
      <c r="BZ27" s="155">
        <f t="shared" si="68"/>
        <v>0</v>
      </c>
      <c r="CA27" s="179">
        <f t="shared" si="68"/>
        <v>0</v>
      </c>
      <c r="CB27" s="203">
        <f t="shared" si="58"/>
        <v>0</v>
      </c>
      <c r="CC27" s="198">
        <f t="shared" si="69"/>
        <v>0</v>
      </c>
      <c r="CD27" s="206">
        <f t="shared" si="59"/>
        <v>0</v>
      </c>
      <c r="CE27" s="150">
        <f t="shared" si="70"/>
        <v>0</v>
      </c>
      <c r="CF27" s="206">
        <f t="shared" si="60"/>
        <v>0</v>
      </c>
      <c r="CG27" s="150">
        <f t="shared" si="71"/>
        <v>0</v>
      </c>
      <c r="CH27" s="206">
        <f t="shared" si="61"/>
        <v>0</v>
      </c>
      <c r="CI27" s="150">
        <f t="shared" si="72"/>
        <v>0</v>
      </c>
      <c r="CJ27" s="206">
        <f t="shared" si="62"/>
        <v>0</v>
      </c>
      <c r="CK27" s="150">
        <f t="shared" si="73"/>
        <v>0</v>
      </c>
      <c r="CL27" s="206">
        <f t="shared" si="63"/>
        <v>0</v>
      </c>
      <c r="CM27" s="150">
        <f t="shared" si="74"/>
        <v>0</v>
      </c>
      <c r="CN27" s="150">
        <f t="shared" si="75"/>
        <v>0</v>
      </c>
      <c r="CO27" s="157"/>
      <c r="CP27" s="148"/>
      <c r="CQ27" s="148"/>
      <c r="CR27" s="148"/>
      <c r="CS27" s="148"/>
      <c r="CT27" s="148"/>
      <c r="CU27" s="151">
        <v>246000</v>
      </c>
      <c r="CV27" s="150">
        <f t="shared" si="81"/>
        <v>258300</v>
      </c>
      <c r="CW27" s="150">
        <f t="shared" ref="CW27:DG27" si="97">CV27+ROUND(CV27*CW$6,2)</f>
        <v>296786.7</v>
      </c>
      <c r="CX27" s="150">
        <f t="shared" si="97"/>
        <v>297973.85000000003</v>
      </c>
      <c r="CY27" s="150">
        <f t="shared" si="97"/>
        <v>304827.25000000006</v>
      </c>
      <c r="CZ27" s="155">
        <f t="shared" si="97"/>
        <v>312447.93000000005</v>
      </c>
      <c r="DA27" s="155">
        <f t="shared" si="97"/>
        <v>320259.13000000006</v>
      </c>
      <c r="DB27" s="155">
        <f t="shared" si="97"/>
        <v>328265.61000000004</v>
      </c>
      <c r="DC27" s="155">
        <f t="shared" si="97"/>
        <v>336472.25000000006</v>
      </c>
      <c r="DD27" s="155">
        <f t="shared" si="97"/>
        <v>344884.06000000006</v>
      </c>
      <c r="DE27" s="155">
        <f t="shared" si="97"/>
        <v>353506.16000000003</v>
      </c>
      <c r="DF27" s="155">
        <f t="shared" si="97"/>
        <v>362343.81000000006</v>
      </c>
      <c r="DG27" s="155">
        <f t="shared" si="97"/>
        <v>371402.41000000003</v>
      </c>
      <c r="DH27" s="236">
        <v>0</v>
      </c>
      <c r="DI27" s="243">
        <f t="shared" si="77"/>
        <v>0</v>
      </c>
      <c r="DJ27" s="248">
        <f t="shared" si="65"/>
        <v>0</v>
      </c>
      <c r="DK27" s="382">
        <v>0</v>
      </c>
      <c r="DL27">
        <f>DH27/'1.piel'!G26</f>
        <v>0</v>
      </c>
    </row>
    <row r="28" spans="2:117" x14ac:dyDescent="0.25">
      <c r="B28" s="52">
        <v>57</v>
      </c>
      <c r="C28" s="53" t="s">
        <v>103</v>
      </c>
      <c r="D28" s="40" t="s">
        <v>250</v>
      </c>
      <c r="E28" s="110">
        <v>2725</v>
      </c>
      <c r="F28" s="178">
        <v>2855</v>
      </c>
      <c r="G28" s="36">
        <v>200</v>
      </c>
      <c r="H28" s="99">
        <f t="shared" si="4"/>
        <v>3055</v>
      </c>
      <c r="I28" s="94">
        <f t="shared" si="5"/>
        <v>0.70157618213660244</v>
      </c>
      <c r="J28" s="89">
        <v>2003</v>
      </c>
      <c r="K28" s="98">
        <f t="shared" si="6"/>
        <v>0.29842381786339756</v>
      </c>
      <c r="L28" s="99">
        <f t="shared" si="7"/>
        <v>852</v>
      </c>
      <c r="M28" s="174">
        <f t="shared" si="8"/>
        <v>18.658799999999999</v>
      </c>
      <c r="N28" s="64">
        <f t="shared" si="9"/>
        <v>41.982300000000002</v>
      </c>
      <c r="O28" s="64">
        <f t="shared" si="10"/>
        <v>18.658799999999999</v>
      </c>
      <c r="P28" s="64">
        <f t="shared" si="11"/>
        <v>3.73176</v>
      </c>
      <c r="Q28" s="64">
        <f t="shared" si="12"/>
        <v>0.62195999999999996</v>
      </c>
      <c r="R28" s="64">
        <f t="shared" si="13"/>
        <v>4.0427400000000002</v>
      </c>
      <c r="S28" s="64">
        <f t="shared" si="14"/>
        <v>6.8415600000000003</v>
      </c>
      <c r="T28" s="64">
        <f t="shared" si="15"/>
        <v>4.6646999999999998</v>
      </c>
      <c r="U28" s="64">
        <f t="shared" si="16"/>
        <v>0.93293999999999999</v>
      </c>
      <c r="V28" s="64">
        <f t="shared" si="17"/>
        <v>0.15548999999999999</v>
      </c>
      <c r="W28" s="64">
        <f t="shared" si="18"/>
        <v>5.90862</v>
      </c>
      <c r="X28" s="64">
        <f t="shared" si="19"/>
        <v>9.9513599999999993</v>
      </c>
      <c r="Y28" s="64">
        <f t="shared" si="20"/>
        <v>4.6646999999999998</v>
      </c>
      <c r="Z28" s="64">
        <f t="shared" si="21"/>
        <v>0</v>
      </c>
      <c r="AA28" s="64">
        <f t="shared" si="22"/>
        <v>0</v>
      </c>
      <c r="AB28" s="64">
        <f t="shared" si="23"/>
        <v>8.7074400000000001</v>
      </c>
      <c r="AC28" s="64">
        <f t="shared" si="24"/>
        <v>25.18938</v>
      </c>
      <c r="AD28" s="64">
        <f t="shared" si="25"/>
        <v>9.3293999999999997</v>
      </c>
      <c r="AE28" s="64">
        <f t="shared" si="26"/>
        <v>2.7988200000000001</v>
      </c>
      <c r="AF28" s="64">
        <f t="shared" si="27"/>
        <v>0.46647</v>
      </c>
      <c r="AG28" s="65">
        <f t="shared" si="28"/>
        <v>48.245699999999999</v>
      </c>
      <c r="AH28" s="65">
        <f t="shared" si="29"/>
        <v>108.552825</v>
      </c>
      <c r="AI28" s="65">
        <f t="shared" si="30"/>
        <v>48.245699999999999</v>
      </c>
      <c r="AJ28" s="65">
        <f t="shared" si="31"/>
        <v>9.6491399999999992</v>
      </c>
      <c r="AK28" s="65">
        <f t="shared" si="32"/>
        <v>1.60819</v>
      </c>
      <c r="AL28" s="66">
        <v>0.9</v>
      </c>
      <c r="AM28" s="66">
        <v>0.75</v>
      </c>
      <c r="AN28" s="66">
        <v>0.9</v>
      </c>
      <c r="AO28" s="66">
        <v>0.1</v>
      </c>
      <c r="AP28" s="66">
        <v>0.1</v>
      </c>
      <c r="AQ28" s="65">
        <f t="shared" si="33"/>
        <v>47.059595999999999</v>
      </c>
      <c r="AR28" s="65">
        <f t="shared" si="34"/>
        <v>86.54578875</v>
      </c>
      <c r="AS28" s="65">
        <f t="shared" si="35"/>
        <v>47.61936</v>
      </c>
      <c r="AT28" s="65">
        <f t="shared" si="36"/>
        <v>1.058208</v>
      </c>
      <c r="AU28" s="65">
        <f t="shared" si="37"/>
        <v>0.176368</v>
      </c>
      <c r="AV28" s="65">
        <f t="shared" si="38"/>
        <v>5.2288440000000023</v>
      </c>
      <c r="AW28" s="65">
        <f t="shared" si="39"/>
        <v>28.84859625</v>
      </c>
      <c r="AX28" s="65">
        <f t="shared" si="40"/>
        <v>5.2910399999999953</v>
      </c>
      <c r="AY28" s="65">
        <f t="shared" si="41"/>
        <v>9.523871999999999</v>
      </c>
      <c r="AZ28" s="65">
        <f t="shared" si="42"/>
        <v>1.5873119999999998</v>
      </c>
      <c r="BA28" s="67">
        <f t="shared" si="43"/>
        <v>66.904499999999999</v>
      </c>
      <c r="BB28" s="67">
        <f t="shared" si="44"/>
        <v>150.53512499999999</v>
      </c>
      <c r="BC28" s="67">
        <f t="shared" si="45"/>
        <v>66.904499999999999</v>
      </c>
      <c r="BD28" s="68">
        <f t="shared" si="46"/>
        <v>13.380899999999999</v>
      </c>
      <c r="BE28" s="68">
        <f t="shared" si="47"/>
        <v>2.2301500000000001</v>
      </c>
      <c r="BF28" s="67">
        <f t="shared" si="48"/>
        <v>13.936284000000002</v>
      </c>
      <c r="BG28" s="67">
        <f t="shared" si="49"/>
        <v>54.03797625</v>
      </c>
      <c r="BH28" s="67">
        <f t="shared" si="50"/>
        <v>14.620439999999995</v>
      </c>
      <c r="BI28" s="68">
        <f t="shared" si="51"/>
        <v>12.322692</v>
      </c>
      <c r="BJ28" s="68">
        <f t="shared" si="52"/>
        <v>2.053782</v>
      </c>
      <c r="BK28" s="67">
        <f t="shared" si="53"/>
        <v>52.968215999999998</v>
      </c>
      <c r="BL28" s="67">
        <f t="shared" si="54"/>
        <v>96.497148749999994</v>
      </c>
      <c r="BM28" s="67">
        <f t="shared" si="55"/>
        <v>52.284059999999997</v>
      </c>
      <c r="BN28" s="68">
        <f t="shared" si="56"/>
        <v>1.058208</v>
      </c>
      <c r="BO28" s="187">
        <f t="shared" si="57"/>
        <v>0.176368</v>
      </c>
      <c r="BP28" s="157"/>
      <c r="BQ28" s="148"/>
      <c r="BR28" s="148"/>
      <c r="BS28" s="148"/>
      <c r="BT28" s="151">
        <v>1332000</v>
      </c>
      <c r="BU28" s="150">
        <f>BT28+ROUND(BT28*BU$6,2)</f>
        <v>1218780</v>
      </c>
      <c r="BV28" s="150">
        <f>BU28+ROUND(BU28*BV$6,2)</f>
        <v>1092026.8799999999</v>
      </c>
      <c r="BW28" s="150">
        <f t="shared" si="80"/>
        <v>1146628.22</v>
      </c>
      <c r="BX28" s="150">
        <f t="shared" si="66"/>
        <v>1317475.82</v>
      </c>
      <c r="BY28" s="150">
        <f t="shared" si="67"/>
        <v>1322745.72</v>
      </c>
      <c r="BZ28" s="155">
        <f t="shared" si="68"/>
        <v>1353168.8699999999</v>
      </c>
      <c r="CA28" s="179">
        <f t="shared" si="68"/>
        <v>1384291.7499999998</v>
      </c>
      <c r="CB28" s="203">
        <f t="shared" si="58"/>
        <v>131507.71624999997</v>
      </c>
      <c r="CC28" s="198">
        <f t="shared" si="69"/>
        <v>1416130.4599999997</v>
      </c>
      <c r="CD28" s="206">
        <f t="shared" si="59"/>
        <v>134532.39369999999</v>
      </c>
      <c r="CE28" s="150">
        <f t="shared" si="70"/>
        <v>1448701.4599999997</v>
      </c>
      <c r="CF28" s="206">
        <f t="shared" si="60"/>
        <v>137626.63869999998</v>
      </c>
      <c r="CG28" s="150">
        <f t="shared" si="71"/>
        <v>1482021.5899999996</v>
      </c>
      <c r="CH28" s="206">
        <f t="shared" si="61"/>
        <v>140792.05104999995</v>
      </c>
      <c r="CI28" s="150">
        <f t="shared" si="72"/>
        <v>1516108.0899999996</v>
      </c>
      <c r="CJ28" s="206">
        <f t="shared" si="62"/>
        <v>144030.26854999998</v>
      </c>
      <c r="CK28" s="150">
        <f t="shared" si="73"/>
        <v>1550978.5799999996</v>
      </c>
      <c r="CL28" s="206">
        <f t="shared" si="63"/>
        <v>147342.96509999997</v>
      </c>
      <c r="CM28" s="150">
        <f t="shared" si="74"/>
        <v>1586651.0899999996</v>
      </c>
      <c r="CN28" s="150">
        <f t="shared" si="75"/>
        <v>1623144.0699999996</v>
      </c>
      <c r="CO28" s="157"/>
      <c r="CP28" s="148"/>
      <c r="CQ28" s="148"/>
      <c r="CR28" s="148"/>
      <c r="CS28" s="151">
        <v>0</v>
      </c>
      <c r="CT28" s="150">
        <f>CS28+ROUND(CS28*CT$6,2)</f>
        <v>0</v>
      </c>
      <c r="CU28" s="150">
        <f>CT28+ROUND(CT28*CU$6,2)</f>
        <v>0</v>
      </c>
      <c r="CV28" s="150">
        <f t="shared" si="81"/>
        <v>0</v>
      </c>
      <c r="CW28" s="150">
        <f t="shared" ref="CW28:DG28" si="98">CV28+ROUND(CV28*CW$6,2)</f>
        <v>0</v>
      </c>
      <c r="CX28" s="150">
        <f t="shared" si="98"/>
        <v>0</v>
      </c>
      <c r="CY28" s="150">
        <f t="shared" si="98"/>
        <v>0</v>
      </c>
      <c r="CZ28" s="155">
        <f t="shared" si="98"/>
        <v>0</v>
      </c>
      <c r="DA28" s="155">
        <f t="shared" si="98"/>
        <v>0</v>
      </c>
      <c r="DB28" s="155">
        <f t="shared" si="98"/>
        <v>0</v>
      </c>
      <c r="DC28" s="155">
        <f t="shared" si="98"/>
        <v>0</v>
      </c>
      <c r="DD28" s="155">
        <f t="shared" si="98"/>
        <v>0</v>
      </c>
      <c r="DE28" s="155">
        <f t="shared" si="98"/>
        <v>0</v>
      </c>
      <c r="DF28" s="155">
        <f t="shared" si="98"/>
        <v>0</v>
      </c>
      <c r="DG28" s="155">
        <f t="shared" si="98"/>
        <v>0</v>
      </c>
      <c r="DH28" s="236">
        <v>0</v>
      </c>
      <c r="DI28" s="243">
        <f t="shared" si="77"/>
        <v>1384291.7499999998</v>
      </c>
      <c r="DJ28" s="248">
        <f t="shared" si="65"/>
        <v>1624.7555751173707</v>
      </c>
      <c r="DK28" s="382">
        <f>CA28/'1.piel'!M27</f>
        <v>1624.7555751173707</v>
      </c>
      <c r="DL28">
        <f>DH28/'1.piel'!G27</f>
        <v>0</v>
      </c>
      <c r="DM28">
        <v>293.52999999999997</v>
      </c>
    </row>
    <row r="29" spans="2:117" x14ac:dyDescent="0.25">
      <c r="B29" s="52">
        <v>61</v>
      </c>
      <c r="C29" s="53" t="s">
        <v>98</v>
      </c>
      <c r="D29" s="36" t="s">
        <v>250</v>
      </c>
      <c r="E29" s="110">
        <v>2571</v>
      </c>
      <c r="F29" s="178">
        <v>2166</v>
      </c>
      <c r="G29" s="36"/>
      <c r="H29" s="99">
        <f t="shared" si="4"/>
        <v>2166</v>
      </c>
      <c r="I29" s="94">
        <f t="shared" si="5"/>
        <v>0</v>
      </c>
      <c r="J29" s="103"/>
      <c r="K29" s="98">
        <f t="shared" si="6"/>
        <v>1</v>
      </c>
      <c r="L29" s="99">
        <f t="shared" si="7"/>
        <v>2166</v>
      </c>
      <c r="M29" s="174">
        <f t="shared" si="8"/>
        <v>47.435400000000001</v>
      </c>
      <c r="N29" s="64">
        <f t="shared" si="9"/>
        <v>106.72965000000001</v>
      </c>
      <c r="O29" s="64">
        <f t="shared" si="10"/>
        <v>47.435400000000001</v>
      </c>
      <c r="P29" s="64">
        <f t="shared" si="11"/>
        <v>9.4870800000000006</v>
      </c>
      <c r="Q29" s="64">
        <f t="shared" si="12"/>
        <v>1.58118</v>
      </c>
      <c r="R29" s="64">
        <f t="shared" si="13"/>
        <v>10.277670000000001</v>
      </c>
      <c r="S29" s="64">
        <f t="shared" si="14"/>
        <v>17.392980000000001</v>
      </c>
      <c r="T29" s="64">
        <f t="shared" si="15"/>
        <v>11.85885</v>
      </c>
      <c r="U29" s="64">
        <f t="shared" si="16"/>
        <v>2.3717700000000002</v>
      </c>
      <c r="V29" s="64">
        <f t="shared" si="17"/>
        <v>0.39529500000000001</v>
      </c>
      <c r="W29" s="64">
        <f t="shared" si="18"/>
        <v>15.02121</v>
      </c>
      <c r="X29" s="64">
        <f t="shared" si="19"/>
        <v>25.29888</v>
      </c>
      <c r="Y29" s="64">
        <f t="shared" si="20"/>
        <v>11.85885</v>
      </c>
      <c r="Z29" s="64">
        <f t="shared" si="21"/>
        <v>0</v>
      </c>
      <c r="AA29" s="64">
        <f t="shared" si="22"/>
        <v>0</v>
      </c>
      <c r="AB29" s="64">
        <f t="shared" si="23"/>
        <v>22.136520000000001</v>
      </c>
      <c r="AC29" s="64">
        <f t="shared" si="24"/>
        <v>64.037790000000001</v>
      </c>
      <c r="AD29" s="64">
        <f t="shared" si="25"/>
        <v>23.717700000000001</v>
      </c>
      <c r="AE29" s="64">
        <f t="shared" si="26"/>
        <v>7.11531</v>
      </c>
      <c r="AF29" s="64">
        <f t="shared" si="27"/>
        <v>1.1858850000000001</v>
      </c>
      <c r="AG29" s="65">
        <f t="shared" si="28"/>
        <v>0</v>
      </c>
      <c r="AH29" s="65">
        <f t="shared" si="29"/>
        <v>0</v>
      </c>
      <c r="AI29" s="65">
        <f t="shared" si="30"/>
        <v>0</v>
      </c>
      <c r="AJ29" s="65">
        <f t="shared" si="31"/>
        <v>0</v>
      </c>
      <c r="AK29" s="65">
        <f t="shared" si="32"/>
        <v>0</v>
      </c>
      <c r="AL29" s="66">
        <v>0.9</v>
      </c>
      <c r="AM29" s="66">
        <v>0.75</v>
      </c>
      <c r="AN29" s="66">
        <v>0.9</v>
      </c>
      <c r="AO29" s="66">
        <v>0.1</v>
      </c>
      <c r="AP29" s="66">
        <v>0.1</v>
      </c>
      <c r="AQ29" s="65">
        <f t="shared" si="33"/>
        <v>9.2499030000000015</v>
      </c>
      <c r="AR29" s="65">
        <f t="shared" si="34"/>
        <v>13.044735000000001</v>
      </c>
      <c r="AS29" s="65">
        <f t="shared" si="35"/>
        <v>10.672965000000001</v>
      </c>
      <c r="AT29" s="65">
        <f t="shared" si="36"/>
        <v>0.23717700000000003</v>
      </c>
      <c r="AU29" s="65">
        <f t="shared" si="37"/>
        <v>3.9529500000000002E-2</v>
      </c>
      <c r="AV29" s="65">
        <f t="shared" si="38"/>
        <v>1.027766999999999</v>
      </c>
      <c r="AW29" s="65">
        <f t="shared" si="39"/>
        <v>4.3482450000000004</v>
      </c>
      <c r="AX29" s="65">
        <f t="shared" si="40"/>
        <v>1.185884999999999</v>
      </c>
      <c r="AY29" s="65">
        <f t="shared" si="41"/>
        <v>2.1345930000000002</v>
      </c>
      <c r="AZ29" s="65">
        <f t="shared" si="42"/>
        <v>0.35576550000000001</v>
      </c>
      <c r="BA29" s="67">
        <f t="shared" si="43"/>
        <v>47.435400000000001</v>
      </c>
      <c r="BB29" s="67">
        <f t="shared" si="44"/>
        <v>106.72965000000001</v>
      </c>
      <c r="BC29" s="67">
        <f t="shared" si="45"/>
        <v>47.435400000000001</v>
      </c>
      <c r="BD29" s="68">
        <f t="shared" si="46"/>
        <v>9.4870800000000006</v>
      </c>
      <c r="BE29" s="68">
        <f t="shared" si="47"/>
        <v>1.58118</v>
      </c>
      <c r="BF29" s="67">
        <f t="shared" si="48"/>
        <v>23.164287000000002</v>
      </c>
      <c r="BG29" s="67">
        <f t="shared" si="49"/>
        <v>68.386035000000007</v>
      </c>
      <c r="BH29" s="67">
        <f t="shared" si="50"/>
        <v>24.903585</v>
      </c>
      <c r="BI29" s="68">
        <f t="shared" si="51"/>
        <v>9.2499029999999998</v>
      </c>
      <c r="BJ29" s="68">
        <f t="shared" si="52"/>
        <v>1.5416505</v>
      </c>
      <c r="BK29" s="67">
        <f t="shared" si="53"/>
        <v>24.271113</v>
      </c>
      <c r="BL29" s="67">
        <f t="shared" si="54"/>
        <v>38.343615</v>
      </c>
      <c r="BM29" s="67">
        <f t="shared" si="55"/>
        <v>22.531815000000002</v>
      </c>
      <c r="BN29" s="68">
        <f t="shared" si="56"/>
        <v>0.23717700000000003</v>
      </c>
      <c r="BO29" s="187">
        <f t="shared" si="57"/>
        <v>3.9529500000000002E-2</v>
      </c>
      <c r="BP29" s="157"/>
      <c r="BQ29" s="148"/>
      <c r="BR29" s="148"/>
      <c r="BS29" s="148"/>
      <c r="BT29" s="148"/>
      <c r="BU29" s="150"/>
      <c r="BV29" s="151">
        <v>0</v>
      </c>
      <c r="BW29" s="150">
        <f t="shared" si="80"/>
        <v>0</v>
      </c>
      <c r="BX29" s="150">
        <f t="shared" si="66"/>
        <v>0</v>
      </c>
      <c r="BY29" s="150">
        <f t="shared" si="67"/>
        <v>0</v>
      </c>
      <c r="BZ29" s="155">
        <f t="shared" ref="BZ29:BZ60" si="99">BY29+ROUND(BY29*$BZ$6,2)</f>
        <v>0</v>
      </c>
      <c r="CA29" s="179">
        <v>305316</v>
      </c>
      <c r="CB29" s="203">
        <f t="shared" si="58"/>
        <v>29005.02</v>
      </c>
      <c r="CC29" s="198">
        <f t="shared" si="69"/>
        <v>312338.27</v>
      </c>
      <c r="CD29" s="206">
        <f t="shared" si="59"/>
        <v>29672.135650000004</v>
      </c>
      <c r="CE29" s="150">
        <f t="shared" si="70"/>
        <v>319522.05000000005</v>
      </c>
      <c r="CF29" s="206">
        <f t="shared" si="60"/>
        <v>30354.594750000004</v>
      </c>
      <c r="CG29" s="150">
        <f t="shared" si="71"/>
        <v>326871.06000000006</v>
      </c>
      <c r="CH29" s="206">
        <f t="shared" si="61"/>
        <v>31052.750700000004</v>
      </c>
      <c r="CI29" s="150">
        <f t="shared" si="72"/>
        <v>334389.09000000008</v>
      </c>
      <c r="CJ29" s="206">
        <f t="shared" si="62"/>
        <v>31766.963550000008</v>
      </c>
      <c r="CK29" s="150">
        <f t="shared" si="73"/>
        <v>342080.0400000001</v>
      </c>
      <c r="CL29" s="206">
        <f t="shared" si="63"/>
        <v>32497.603800000008</v>
      </c>
      <c r="CM29" s="150">
        <f t="shared" si="74"/>
        <v>349947.88000000012</v>
      </c>
      <c r="CN29" s="150">
        <f t="shared" si="75"/>
        <v>357996.68000000011</v>
      </c>
      <c r="CO29" s="157"/>
      <c r="CP29" s="148"/>
      <c r="CQ29" s="148"/>
      <c r="CR29" s="148"/>
      <c r="CS29" s="148"/>
      <c r="CT29" s="148"/>
      <c r="CU29" s="151">
        <v>0</v>
      </c>
      <c r="CV29" s="150">
        <f t="shared" si="81"/>
        <v>0</v>
      </c>
      <c r="CW29" s="150">
        <f t="shared" ref="CW29:DG29" si="100">CV29+ROUND(CV29*CW$6,2)</f>
        <v>0</v>
      </c>
      <c r="CX29" s="150">
        <f t="shared" si="100"/>
        <v>0</v>
      </c>
      <c r="CY29" s="150">
        <f t="shared" si="100"/>
        <v>0</v>
      </c>
      <c r="CZ29" s="155">
        <f t="shared" si="100"/>
        <v>0</v>
      </c>
      <c r="DA29" s="155">
        <f t="shared" si="100"/>
        <v>0</v>
      </c>
      <c r="DB29" s="155">
        <f t="shared" si="100"/>
        <v>0</v>
      </c>
      <c r="DC29" s="155">
        <f t="shared" si="100"/>
        <v>0</v>
      </c>
      <c r="DD29" s="155">
        <f t="shared" si="100"/>
        <v>0</v>
      </c>
      <c r="DE29" s="155">
        <f t="shared" si="100"/>
        <v>0</v>
      </c>
      <c r="DF29" s="155">
        <f t="shared" si="100"/>
        <v>0</v>
      </c>
      <c r="DG29" s="155">
        <f t="shared" si="100"/>
        <v>0</v>
      </c>
      <c r="DH29" s="236">
        <v>0</v>
      </c>
      <c r="DI29" s="243">
        <f t="shared" si="77"/>
        <v>305316</v>
      </c>
      <c r="DJ29" s="248">
        <f t="shared" si="65"/>
        <v>1028</v>
      </c>
      <c r="DK29" s="382">
        <f>CA29/'1.piel'!M28</f>
        <v>1028</v>
      </c>
      <c r="DL29">
        <f>DH29/'1.piel'!G28</f>
        <v>0</v>
      </c>
    </row>
    <row r="30" spans="2:117" x14ac:dyDescent="0.25">
      <c r="B30" s="52">
        <v>62</v>
      </c>
      <c r="C30" s="53" t="s">
        <v>97</v>
      </c>
      <c r="D30" s="36" t="s">
        <v>250</v>
      </c>
      <c r="E30" s="110">
        <v>2490</v>
      </c>
      <c r="F30" s="178">
        <v>2840</v>
      </c>
      <c r="G30" s="63">
        <v>220</v>
      </c>
      <c r="H30" s="99">
        <f t="shared" si="4"/>
        <v>3060</v>
      </c>
      <c r="I30" s="94">
        <f t="shared" si="5"/>
        <v>0.79084507042253516</v>
      </c>
      <c r="J30" s="89">
        <v>2246</v>
      </c>
      <c r="K30" s="98">
        <f t="shared" si="6"/>
        <v>0.20915492957746479</v>
      </c>
      <c r="L30" s="99">
        <f t="shared" si="7"/>
        <v>594</v>
      </c>
      <c r="M30" s="174">
        <f t="shared" si="8"/>
        <v>13.008599999999999</v>
      </c>
      <c r="N30" s="64">
        <f t="shared" si="9"/>
        <v>29.269349999999999</v>
      </c>
      <c r="O30" s="64">
        <f t="shared" si="10"/>
        <v>13.008599999999999</v>
      </c>
      <c r="P30" s="64">
        <f t="shared" si="11"/>
        <v>2.6017199999999998</v>
      </c>
      <c r="Q30" s="64">
        <f t="shared" si="12"/>
        <v>0.43362000000000001</v>
      </c>
      <c r="R30" s="64">
        <f t="shared" si="13"/>
        <v>2.81853</v>
      </c>
      <c r="S30" s="64">
        <f t="shared" si="14"/>
        <v>4.7698200000000002</v>
      </c>
      <c r="T30" s="64">
        <f t="shared" si="15"/>
        <v>3.2521499999999999</v>
      </c>
      <c r="U30" s="64">
        <f t="shared" si="16"/>
        <v>0.65042999999999995</v>
      </c>
      <c r="V30" s="64">
        <f t="shared" si="17"/>
        <v>0.108405</v>
      </c>
      <c r="W30" s="64">
        <f t="shared" si="18"/>
        <v>4.1193900000000001</v>
      </c>
      <c r="X30" s="64">
        <f t="shared" si="19"/>
        <v>6.9379200000000001</v>
      </c>
      <c r="Y30" s="64">
        <f t="shared" si="20"/>
        <v>3.2521499999999999</v>
      </c>
      <c r="Z30" s="64">
        <f t="shared" si="21"/>
        <v>0</v>
      </c>
      <c r="AA30" s="64">
        <f t="shared" si="22"/>
        <v>0</v>
      </c>
      <c r="AB30" s="64">
        <f t="shared" si="23"/>
        <v>6.0706800000000003</v>
      </c>
      <c r="AC30" s="64">
        <f t="shared" si="24"/>
        <v>17.561610000000002</v>
      </c>
      <c r="AD30" s="64">
        <f t="shared" si="25"/>
        <v>6.5042999999999997</v>
      </c>
      <c r="AE30" s="64">
        <f t="shared" si="26"/>
        <v>1.95129</v>
      </c>
      <c r="AF30" s="64">
        <f t="shared" si="27"/>
        <v>0.32521499999999998</v>
      </c>
      <c r="AG30" s="65">
        <f t="shared" si="28"/>
        <v>54.005400000000002</v>
      </c>
      <c r="AH30" s="65">
        <f t="shared" si="29"/>
        <v>121.51215000000001</v>
      </c>
      <c r="AI30" s="65">
        <f t="shared" si="30"/>
        <v>54.005400000000002</v>
      </c>
      <c r="AJ30" s="65">
        <f t="shared" si="31"/>
        <v>10.801080000000001</v>
      </c>
      <c r="AK30" s="65">
        <f t="shared" si="32"/>
        <v>1.8001799999999999</v>
      </c>
      <c r="AL30" s="66">
        <v>0.9</v>
      </c>
      <c r="AM30" s="66">
        <v>0.75</v>
      </c>
      <c r="AN30" s="66">
        <v>0.9</v>
      </c>
      <c r="AO30" s="66">
        <v>0.1</v>
      </c>
      <c r="AP30" s="66">
        <v>0.1</v>
      </c>
      <c r="AQ30" s="65">
        <f t="shared" si="33"/>
        <v>51.141537000000007</v>
      </c>
      <c r="AR30" s="65">
        <f t="shared" si="34"/>
        <v>94.711477500000001</v>
      </c>
      <c r="AS30" s="65">
        <f t="shared" si="35"/>
        <v>51.531795000000002</v>
      </c>
      <c r="AT30" s="65">
        <f t="shared" si="36"/>
        <v>1.145151</v>
      </c>
      <c r="AU30" s="65">
        <f t="shared" si="37"/>
        <v>0.19085850000000001</v>
      </c>
      <c r="AV30" s="65">
        <f t="shared" si="38"/>
        <v>5.6823929999999976</v>
      </c>
      <c r="AW30" s="65">
        <f t="shared" si="39"/>
        <v>31.5704925</v>
      </c>
      <c r="AX30" s="65">
        <f t="shared" si="40"/>
        <v>5.7257549999999995</v>
      </c>
      <c r="AY30" s="65">
        <f t="shared" si="41"/>
        <v>10.306359</v>
      </c>
      <c r="AZ30" s="65">
        <f t="shared" si="42"/>
        <v>1.7177264999999999</v>
      </c>
      <c r="BA30" s="67">
        <f t="shared" si="43"/>
        <v>67.013999999999996</v>
      </c>
      <c r="BB30" s="67">
        <f t="shared" si="44"/>
        <v>150.78149999999999</v>
      </c>
      <c r="BC30" s="67">
        <f t="shared" si="45"/>
        <v>67.013999999999996</v>
      </c>
      <c r="BD30" s="68">
        <f t="shared" si="46"/>
        <v>13.402800000000001</v>
      </c>
      <c r="BE30" s="68">
        <f t="shared" si="47"/>
        <v>2.2338</v>
      </c>
      <c r="BF30" s="67">
        <f t="shared" si="48"/>
        <v>11.753072999999997</v>
      </c>
      <c r="BG30" s="67">
        <f t="shared" si="49"/>
        <v>49.132102500000002</v>
      </c>
      <c r="BH30" s="67">
        <f t="shared" si="50"/>
        <v>12.230055</v>
      </c>
      <c r="BI30" s="68">
        <f t="shared" si="51"/>
        <v>12.257649000000001</v>
      </c>
      <c r="BJ30" s="68">
        <f t="shared" si="52"/>
        <v>2.0429415</v>
      </c>
      <c r="BK30" s="67">
        <f t="shared" si="53"/>
        <v>55.260927000000009</v>
      </c>
      <c r="BL30" s="67">
        <f t="shared" si="54"/>
        <v>101.64939750000001</v>
      </c>
      <c r="BM30" s="67">
        <f t="shared" si="55"/>
        <v>54.783945000000003</v>
      </c>
      <c r="BN30" s="68">
        <f t="shared" si="56"/>
        <v>1.145151</v>
      </c>
      <c r="BO30" s="187">
        <f t="shared" si="57"/>
        <v>0.19085850000000001</v>
      </c>
      <c r="BP30" s="157"/>
      <c r="BQ30" s="148"/>
      <c r="BR30" s="148"/>
      <c r="BS30" s="148"/>
      <c r="BT30" s="148"/>
      <c r="BU30" s="150"/>
      <c r="BV30" s="151">
        <f>554320+170849</f>
        <v>725169</v>
      </c>
      <c r="BW30" s="150">
        <f t="shared" si="80"/>
        <v>761427.45</v>
      </c>
      <c r="BX30" s="150">
        <f t="shared" si="66"/>
        <v>874880.1399999999</v>
      </c>
      <c r="BY30" s="150">
        <f t="shared" si="67"/>
        <v>878379.65999999992</v>
      </c>
      <c r="BZ30" s="155">
        <f t="shared" si="99"/>
        <v>898582.3899999999</v>
      </c>
      <c r="CA30" s="179">
        <f t="shared" ref="CA30:CA57" si="101">BZ30+ROUND(BZ30*$BZ$6,2)</f>
        <v>919249.77999999991</v>
      </c>
      <c r="CB30" s="203">
        <f t="shared" si="58"/>
        <v>87328.729099999997</v>
      </c>
      <c r="CC30" s="198">
        <f t="shared" si="69"/>
        <v>940392.5199999999</v>
      </c>
      <c r="CD30" s="206">
        <f t="shared" si="59"/>
        <v>89337.289399999994</v>
      </c>
      <c r="CE30" s="150">
        <f t="shared" si="70"/>
        <v>962021.54999999993</v>
      </c>
      <c r="CF30" s="206">
        <f t="shared" si="60"/>
        <v>91392.047249999989</v>
      </c>
      <c r="CG30" s="150">
        <f t="shared" si="71"/>
        <v>984148.04999999993</v>
      </c>
      <c r="CH30" s="206">
        <f t="shared" si="61"/>
        <v>93494.06474999999</v>
      </c>
      <c r="CI30" s="150">
        <f t="shared" si="72"/>
        <v>1006783.46</v>
      </c>
      <c r="CJ30" s="206">
        <f t="shared" si="62"/>
        <v>95644.428700000004</v>
      </c>
      <c r="CK30" s="150">
        <f t="shared" si="73"/>
        <v>1029939.48</v>
      </c>
      <c r="CL30" s="206">
        <f t="shared" si="63"/>
        <v>97844.250599999999</v>
      </c>
      <c r="CM30" s="150">
        <f t="shared" si="74"/>
        <v>1053628.0900000001</v>
      </c>
      <c r="CN30" s="150">
        <f t="shared" si="75"/>
        <v>1077861.54</v>
      </c>
      <c r="CO30" s="157"/>
      <c r="CP30" s="148"/>
      <c r="CQ30" s="148"/>
      <c r="CR30" s="148"/>
      <c r="CS30" s="148"/>
      <c r="CT30" s="148"/>
      <c r="CU30" s="151">
        <f>866290+205455</f>
        <v>1071745</v>
      </c>
      <c r="CV30" s="150">
        <f t="shared" si="81"/>
        <v>1125332.25</v>
      </c>
      <c r="CW30" s="150">
        <f t="shared" ref="CW30:DG30" si="102">CV30+ROUND(CV30*CW$6,2)</f>
        <v>1293006.76</v>
      </c>
      <c r="CX30" s="150">
        <f t="shared" si="102"/>
        <v>1298178.79</v>
      </c>
      <c r="CY30" s="150">
        <f t="shared" si="102"/>
        <v>1328036.9000000001</v>
      </c>
      <c r="CZ30" s="155">
        <f t="shared" si="102"/>
        <v>1361237.82</v>
      </c>
      <c r="DA30" s="155">
        <f t="shared" si="102"/>
        <v>1395268.77</v>
      </c>
      <c r="DB30" s="155">
        <f t="shared" si="102"/>
        <v>1430150.49</v>
      </c>
      <c r="DC30" s="155">
        <f t="shared" si="102"/>
        <v>1465904.25</v>
      </c>
      <c r="DD30" s="155">
        <f t="shared" si="102"/>
        <v>1502551.86</v>
      </c>
      <c r="DE30" s="155">
        <f t="shared" si="102"/>
        <v>1540115.6600000001</v>
      </c>
      <c r="DF30" s="155">
        <f t="shared" si="102"/>
        <v>1578618.55</v>
      </c>
      <c r="DG30" s="155">
        <f t="shared" si="102"/>
        <v>1618084.01</v>
      </c>
      <c r="DH30" s="236">
        <v>0</v>
      </c>
      <c r="DI30" s="243">
        <f t="shared" si="77"/>
        <v>919249.77999999991</v>
      </c>
      <c r="DJ30" s="248">
        <f t="shared" si="65"/>
        <v>1547.5585521885521</v>
      </c>
      <c r="DK30" s="382">
        <f>CA30/'1.piel'!M29</f>
        <v>1547.5585521885521</v>
      </c>
      <c r="DL30">
        <f>DH30/'1.piel'!G29</f>
        <v>0</v>
      </c>
    </row>
    <row r="31" spans="2:117" x14ac:dyDescent="0.25">
      <c r="B31" s="52">
        <v>65</v>
      </c>
      <c r="C31" s="53" t="s">
        <v>100</v>
      </c>
      <c r="D31" s="36" t="s">
        <v>250</v>
      </c>
      <c r="E31" s="110">
        <v>2317</v>
      </c>
      <c r="F31" s="178">
        <v>2703</v>
      </c>
      <c r="G31" s="36">
        <v>31</v>
      </c>
      <c r="H31" s="99">
        <f t="shared" si="4"/>
        <v>2734</v>
      </c>
      <c r="I31" s="94">
        <f t="shared" si="5"/>
        <v>0.8057713651498335</v>
      </c>
      <c r="J31" s="89">
        <v>2178</v>
      </c>
      <c r="K31" s="98">
        <f t="shared" si="6"/>
        <v>0.19422863485016648</v>
      </c>
      <c r="L31" s="99">
        <f t="shared" si="7"/>
        <v>525</v>
      </c>
      <c r="M31" s="174">
        <f t="shared" si="8"/>
        <v>11.4975</v>
      </c>
      <c r="N31" s="64">
        <f t="shared" si="9"/>
        <v>25.869375000000002</v>
      </c>
      <c r="O31" s="64">
        <f t="shared" si="10"/>
        <v>11.4975</v>
      </c>
      <c r="P31" s="64">
        <f t="shared" si="11"/>
        <v>2.2995000000000001</v>
      </c>
      <c r="Q31" s="64">
        <f t="shared" si="12"/>
        <v>0.38324999999999998</v>
      </c>
      <c r="R31" s="64">
        <f t="shared" si="13"/>
        <v>2.4911249999999998</v>
      </c>
      <c r="S31" s="64">
        <f t="shared" si="14"/>
        <v>4.2157499999999999</v>
      </c>
      <c r="T31" s="64">
        <f t="shared" si="15"/>
        <v>2.8743750000000001</v>
      </c>
      <c r="U31" s="64">
        <f t="shared" si="16"/>
        <v>0.57487500000000002</v>
      </c>
      <c r="V31" s="64">
        <f t="shared" si="17"/>
        <v>9.5812499999999995E-2</v>
      </c>
      <c r="W31" s="64">
        <f t="shared" si="18"/>
        <v>3.6408749999999999</v>
      </c>
      <c r="X31" s="64">
        <f t="shared" si="19"/>
        <v>6.1319999999999997</v>
      </c>
      <c r="Y31" s="64">
        <f t="shared" si="20"/>
        <v>2.8743750000000001</v>
      </c>
      <c r="Z31" s="64">
        <f t="shared" si="21"/>
        <v>0</v>
      </c>
      <c r="AA31" s="64">
        <f t="shared" si="22"/>
        <v>0</v>
      </c>
      <c r="AB31" s="64">
        <f t="shared" si="23"/>
        <v>5.3654999999999999</v>
      </c>
      <c r="AC31" s="64">
        <f t="shared" si="24"/>
        <v>15.521625</v>
      </c>
      <c r="AD31" s="64">
        <f t="shared" si="25"/>
        <v>5.7487500000000002</v>
      </c>
      <c r="AE31" s="64">
        <f t="shared" si="26"/>
        <v>1.7246250000000001</v>
      </c>
      <c r="AF31" s="64">
        <f t="shared" si="27"/>
        <v>0.28743750000000001</v>
      </c>
      <c r="AG31" s="65">
        <f t="shared" si="28"/>
        <v>48.377099999999999</v>
      </c>
      <c r="AH31" s="65">
        <f t="shared" si="29"/>
        <v>108.84847499999999</v>
      </c>
      <c r="AI31" s="65">
        <f t="shared" si="30"/>
        <v>48.377099999999999</v>
      </c>
      <c r="AJ31" s="65">
        <f t="shared" si="31"/>
        <v>9.6754200000000008</v>
      </c>
      <c r="AK31" s="65">
        <f t="shared" si="32"/>
        <v>1.6125700000000001</v>
      </c>
      <c r="AL31" s="66">
        <v>0.9</v>
      </c>
      <c r="AM31" s="66">
        <v>0.75</v>
      </c>
      <c r="AN31" s="66">
        <v>0.9</v>
      </c>
      <c r="AO31" s="66">
        <v>0.1</v>
      </c>
      <c r="AP31" s="66">
        <v>0.1</v>
      </c>
      <c r="AQ31" s="65">
        <f t="shared" si="33"/>
        <v>45.781402499999999</v>
      </c>
      <c r="AR31" s="65">
        <f t="shared" si="34"/>
        <v>84.798168750000002</v>
      </c>
      <c r="AS31" s="65">
        <f t="shared" si="35"/>
        <v>46.126327500000002</v>
      </c>
      <c r="AT31" s="65">
        <f t="shared" si="36"/>
        <v>1.0250295000000003</v>
      </c>
      <c r="AU31" s="65">
        <f t="shared" si="37"/>
        <v>0.17083825000000002</v>
      </c>
      <c r="AV31" s="65">
        <f t="shared" si="38"/>
        <v>5.0868224999999967</v>
      </c>
      <c r="AW31" s="65">
        <f t="shared" si="39"/>
        <v>28.266056249999991</v>
      </c>
      <c r="AX31" s="65">
        <f t="shared" si="40"/>
        <v>5.1251474999999971</v>
      </c>
      <c r="AY31" s="65">
        <f t="shared" si="41"/>
        <v>9.2252655000000008</v>
      </c>
      <c r="AZ31" s="65">
        <f t="shared" si="42"/>
        <v>1.5375442500000001</v>
      </c>
      <c r="BA31" s="67">
        <f t="shared" si="43"/>
        <v>59.874600000000001</v>
      </c>
      <c r="BB31" s="67">
        <f t="shared" si="44"/>
        <v>134.71785</v>
      </c>
      <c r="BC31" s="67">
        <f t="shared" si="45"/>
        <v>59.874600000000001</v>
      </c>
      <c r="BD31" s="68">
        <f t="shared" si="46"/>
        <v>11.974920000000001</v>
      </c>
      <c r="BE31" s="68">
        <f t="shared" si="47"/>
        <v>1.9958200000000001</v>
      </c>
      <c r="BF31" s="67">
        <f t="shared" si="48"/>
        <v>10.452322499999998</v>
      </c>
      <c r="BG31" s="67">
        <f t="shared" si="49"/>
        <v>43.787681249999991</v>
      </c>
      <c r="BH31" s="67">
        <f t="shared" si="50"/>
        <v>10.873897499999998</v>
      </c>
      <c r="BI31" s="68">
        <f t="shared" si="51"/>
        <v>10.9498905</v>
      </c>
      <c r="BJ31" s="68">
        <f t="shared" si="52"/>
        <v>1.8249817500000001</v>
      </c>
      <c r="BK31" s="67">
        <f t="shared" si="53"/>
        <v>49.4222775</v>
      </c>
      <c r="BL31" s="67">
        <f t="shared" si="54"/>
        <v>90.930168750000007</v>
      </c>
      <c r="BM31" s="67">
        <f t="shared" si="55"/>
        <v>49.000702500000003</v>
      </c>
      <c r="BN31" s="68">
        <f t="shared" si="56"/>
        <v>1.0250295000000003</v>
      </c>
      <c r="BO31" s="187">
        <f t="shared" si="57"/>
        <v>0.17083825000000002</v>
      </c>
      <c r="BP31" s="157"/>
      <c r="BQ31" s="148"/>
      <c r="BR31" s="151">
        <f>1788000*0.6+40200</f>
        <v>1113000</v>
      </c>
      <c r="BS31" s="150">
        <f>BR31+ROUND(BR31*BS$6,2)</f>
        <v>1404606</v>
      </c>
      <c r="BT31" s="150">
        <f>BS31+ROUND(BS31*BT$6,2)</f>
        <v>1606869.26</v>
      </c>
      <c r="BU31" s="150">
        <f>BT31+ROUND(BT31*BU$6,2)</f>
        <v>1470285.37</v>
      </c>
      <c r="BV31" s="150">
        <f>BU31+ROUND(BU31*BV$6,2)</f>
        <v>1317375.6900000002</v>
      </c>
      <c r="BW31" s="150">
        <f t="shared" si="80"/>
        <v>1383244.4700000002</v>
      </c>
      <c r="BX31" s="150">
        <f t="shared" si="66"/>
        <v>1589347.9000000001</v>
      </c>
      <c r="BY31" s="150">
        <f t="shared" si="67"/>
        <v>1595705.29</v>
      </c>
      <c r="BZ31" s="155">
        <f t="shared" si="99"/>
        <v>1632406.51</v>
      </c>
      <c r="CA31" s="179">
        <f t="shared" si="101"/>
        <v>1669951.86</v>
      </c>
      <c r="CB31" s="203">
        <f t="shared" si="58"/>
        <v>158645.42670000001</v>
      </c>
      <c r="CC31" s="198">
        <f t="shared" si="69"/>
        <v>1708360.75</v>
      </c>
      <c r="CD31" s="206">
        <f t="shared" si="59"/>
        <v>162294.27124999999</v>
      </c>
      <c r="CE31" s="150">
        <f t="shared" si="70"/>
        <v>1747653.05</v>
      </c>
      <c r="CF31" s="206">
        <f t="shared" si="60"/>
        <v>166027.03975</v>
      </c>
      <c r="CG31" s="150">
        <f t="shared" si="71"/>
        <v>1787849.07</v>
      </c>
      <c r="CH31" s="206">
        <f t="shared" si="61"/>
        <v>169845.66164999999</v>
      </c>
      <c r="CI31" s="150">
        <f t="shared" si="72"/>
        <v>1828969.6</v>
      </c>
      <c r="CJ31" s="206">
        <f t="shared" si="62"/>
        <v>173752.11200000002</v>
      </c>
      <c r="CK31" s="150">
        <f t="shared" si="73"/>
        <v>1871035.9000000001</v>
      </c>
      <c r="CL31" s="206">
        <f t="shared" si="63"/>
        <v>177748.41050000003</v>
      </c>
      <c r="CM31" s="150">
        <f t="shared" si="74"/>
        <v>1914069.7300000002</v>
      </c>
      <c r="CN31" s="150">
        <f t="shared" si="75"/>
        <v>1958093.3300000003</v>
      </c>
      <c r="CO31" s="157"/>
      <c r="CP31" s="148"/>
      <c r="CQ31" s="151">
        <v>106800</v>
      </c>
      <c r="CR31" s="150">
        <f>CQ31+ROUND(CQ31*CR$6,2)</f>
        <v>134781.6</v>
      </c>
      <c r="CS31" s="150">
        <f>CR31+ROUND(CR31*CS$6,2)</f>
        <v>154190.15</v>
      </c>
      <c r="CT31" s="150">
        <f>CS31+ROUND(CS31*CT$6,2)</f>
        <v>141083.99</v>
      </c>
      <c r="CU31" s="150">
        <f>CT31+ROUND(CT31*CU$6,2)</f>
        <v>126411.26</v>
      </c>
      <c r="CV31" s="150">
        <f t="shared" si="81"/>
        <v>132731.82</v>
      </c>
      <c r="CW31" s="150">
        <f t="shared" ref="CW31:DG31" si="103">CV31+ROUND(CV31*CW$6,2)</f>
        <v>152508.86000000002</v>
      </c>
      <c r="CX31" s="150">
        <f t="shared" si="103"/>
        <v>153118.90000000002</v>
      </c>
      <c r="CY31" s="150">
        <f t="shared" si="103"/>
        <v>156640.63000000003</v>
      </c>
      <c r="CZ31" s="155">
        <f t="shared" si="103"/>
        <v>160556.65000000002</v>
      </c>
      <c r="DA31" s="155">
        <f t="shared" si="103"/>
        <v>164570.57000000004</v>
      </c>
      <c r="DB31" s="155">
        <f t="shared" si="103"/>
        <v>168684.83000000005</v>
      </c>
      <c r="DC31" s="155">
        <f t="shared" si="103"/>
        <v>172901.95000000004</v>
      </c>
      <c r="DD31" s="155">
        <f t="shared" si="103"/>
        <v>177224.50000000003</v>
      </c>
      <c r="DE31" s="155">
        <f t="shared" si="103"/>
        <v>181655.11000000002</v>
      </c>
      <c r="DF31" s="155">
        <f t="shared" si="103"/>
        <v>186196.49000000002</v>
      </c>
      <c r="DG31" s="155">
        <f t="shared" si="103"/>
        <v>190851.40000000002</v>
      </c>
      <c r="DH31" s="236">
        <v>0</v>
      </c>
      <c r="DI31" s="243">
        <f t="shared" si="77"/>
        <v>1669951.86</v>
      </c>
      <c r="DJ31" s="248">
        <f t="shared" si="65"/>
        <v>3180.8606857142859</v>
      </c>
      <c r="DK31" s="382">
        <f>CA31/'1.piel'!M30</f>
        <v>3180.8606857142859</v>
      </c>
      <c r="DL31">
        <f>DH31/'1.piel'!G30</f>
        <v>0</v>
      </c>
    </row>
    <row r="32" spans="2:117" x14ac:dyDescent="0.25">
      <c r="B32" s="52">
        <v>66</v>
      </c>
      <c r="C32" s="53" t="s">
        <v>109</v>
      </c>
      <c r="D32" s="36" t="s">
        <v>250</v>
      </c>
      <c r="E32" s="110">
        <v>2293</v>
      </c>
      <c r="F32" s="178">
        <v>2700</v>
      </c>
      <c r="G32" s="36">
        <v>318</v>
      </c>
      <c r="H32" s="99">
        <f t="shared" si="4"/>
        <v>3018</v>
      </c>
      <c r="I32" s="94">
        <f t="shared" si="5"/>
        <v>0.9085185185185185</v>
      </c>
      <c r="J32" s="89">
        <v>2453</v>
      </c>
      <c r="K32" s="98">
        <f t="shared" si="6"/>
        <v>9.1481481481481483E-2</v>
      </c>
      <c r="L32" s="99">
        <f t="shared" si="7"/>
        <v>247</v>
      </c>
      <c r="M32" s="174">
        <f t="shared" si="8"/>
        <v>5.4093</v>
      </c>
      <c r="N32" s="64">
        <f t="shared" si="9"/>
        <v>12.170925</v>
      </c>
      <c r="O32" s="64">
        <f t="shared" si="10"/>
        <v>5.4093</v>
      </c>
      <c r="P32" s="64">
        <f t="shared" si="11"/>
        <v>1.08186</v>
      </c>
      <c r="Q32" s="64">
        <f t="shared" si="12"/>
        <v>0.18031</v>
      </c>
      <c r="R32" s="64">
        <f t="shared" si="13"/>
        <v>1.172015</v>
      </c>
      <c r="S32" s="64">
        <f t="shared" si="14"/>
        <v>1.9834099999999999</v>
      </c>
      <c r="T32" s="64">
        <f t="shared" si="15"/>
        <v>1.352325</v>
      </c>
      <c r="U32" s="64">
        <f t="shared" si="16"/>
        <v>0.27046500000000001</v>
      </c>
      <c r="V32" s="64">
        <f t="shared" si="17"/>
        <v>4.50775E-2</v>
      </c>
      <c r="W32" s="64">
        <f t="shared" si="18"/>
        <v>1.7129449999999999</v>
      </c>
      <c r="X32" s="64">
        <f t="shared" si="19"/>
        <v>2.88496</v>
      </c>
      <c r="Y32" s="64">
        <f t="shared" si="20"/>
        <v>1.352325</v>
      </c>
      <c r="Z32" s="64">
        <f t="shared" si="21"/>
        <v>0</v>
      </c>
      <c r="AA32" s="64">
        <f t="shared" si="22"/>
        <v>0</v>
      </c>
      <c r="AB32" s="64">
        <f t="shared" si="23"/>
        <v>2.52434</v>
      </c>
      <c r="AC32" s="64">
        <f t="shared" si="24"/>
        <v>7.3025549999999999</v>
      </c>
      <c r="AD32" s="64">
        <f t="shared" si="25"/>
        <v>2.70465</v>
      </c>
      <c r="AE32" s="64">
        <f t="shared" si="26"/>
        <v>0.81139499999999998</v>
      </c>
      <c r="AF32" s="64">
        <f t="shared" si="27"/>
        <v>0.13523250000000001</v>
      </c>
      <c r="AG32" s="65">
        <f t="shared" si="28"/>
        <v>60.684899999999999</v>
      </c>
      <c r="AH32" s="65">
        <f t="shared" si="29"/>
        <v>136.54102499999999</v>
      </c>
      <c r="AI32" s="65">
        <f t="shared" si="30"/>
        <v>60.684899999999999</v>
      </c>
      <c r="AJ32" s="65">
        <f t="shared" si="31"/>
        <v>12.136979999999999</v>
      </c>
      <c r="AK32" s="65">
        <f t="shared" si="32"/>
        <v>2.0228299999999999</v>
      </c>
      <c r="AL32" s="66">
        <v>0.9</v>
      </c>
      <c r="AM32" s="66">
        <v>0.75</v>
      </c>
      <c r="AN32" s="66">
        <v>0.9</v>
      </c>
      <c r="AO32" s="66">
        <v>0.1</v>
      </c>
      <c r="AP32" s="66">
        <v>0.1</v>
      </c>
      <c r="AQ32" s="65">
        <f t="shared" si="33"/>
        <v>55.671223500000004</v>
      </c>
      <c r="AR32" s="65">
        <f t="shared" si="34"/>
        <v>103.89332624999999</v>
      </c>
      <c r="AS32" s="65">
        <f t="shared" si="35"/>
        <v>55.833502500000002</v>
      </c>
      <c r="AT32" s="65">
        <f t="shared" si="36"/>
        <v>1.2407444999999999</v>
      </c>
      <c r="AU32" s="65">
        <f t="shared" si="37"/>
        <v>0.20679075000000002</v>
      </c>
      <c r="AV32" s="65">
        <f t="shared" si="38"/>
        <v>6.1856914999999972</v>
      </c>
      <c r="AW32" s="65">
        <f t="shared" si="39"/>
        <v>34.631108749999996</v>
      </c>
      <c r="AX32" s="65">
        <f t="shared" si="40"/>
        <v>6.2037224999999978</v>
      </c>
      <c r="AY32" s="65">
        <f t="shared" si="41"/>
        <v>11.166700499999999</v>
      </c>
      <c r="AZ32" s="65">
        <f t="shared" si="42"/>
        <v>1.8611167499999999</v>
      </c>
      <c r="BA32" s="67">
        <f t="shared" si="43"/>
        <v>66.094200000000001</v>
      </c>
      <c r="BB32" s="67">
        <f t="shared" si="44"/>
        <v>148.71195</v>
      </c>
      <c r="BC32" s="67">
        <f t="shared" si="45"/>
        <v>66.094200000000001</v>
      </c>
      <c r="BD32" s="68">
        <f t="shared" si="46"/>
        <v>13.21884</v>
      </c>
      <c r="BE32" s="68">
        <f t="shared" si="47"/>
        <v>2.2031399999999999</v>
      </c>
      <c r="BF32" s="67">
        <f t="shared" si="48"/>
        <v>8.7100314999999977</v>
      </c>
      <c r="BG32" s="67">
        <f t="shared" si="49"/>
        <v>41.933663749999994</v>
      </c>
      <c r="BH32" s="67">
        <f t="shared" si="50"/>
        <v>8.9083724999999987</v>
      </c>
      <c r="BI32" s="68">
        <f t="shared" si="51"/>
        <v>11.978095499999998</v>
      </c>
      <c r="BJ32" s="68">
        <f t="shared" si="52"/>
        <v>1.99634925</v>
      </c>
      <c r="BK32" s="67">
        <f t="shared" si="53"/>
        <v>57.384168500000001</v>
      </c>
      <c r="BL32" s="67">
        <f t="shared" si="54"/>
        <v>106.77828624999999</v>
      </c>
      <c r="BM32" s="67">
        <f t="shared" si="55"/>
        <v>57.185827500000002</v>
      </c>
      <c r="BN32" s="68">
        <f t="shared" si="56"/>
        <v>1.2407444999999999</v>
      </c>
      <c r="BO32" s="187">
        <f t="shared" si="57"/>
        <v>0.20679075000000002</v>
      </c>
      <c r="BP32" s="157"/>
      <c r="BQ32" s="148"/>
      <c r="BR32" s="148"/>
      <c r="BS32" s="150"/>
      <c r="BT32" s="148"/>
      <c r="BU32" s="148"/>
      <c r="BV32" s="151">
        <f>107556+105543+30068</f>
        <v>243167</v>
      </c>
      <c r="BW32" s="150">
        <f t="shared" si="80"/>
        <v>255325.35</v>
      </c>
      <c r="BX32" s="150">
        <f t="shared" si="66"/>
        <v>293368.83</v>
      </c>
      <c r="BY32" s="150">
        <f t="shared" si="67"/>
        <v>294542.31</v>
      </c>
      <c r="BZ32" s="155">
        <f t="shared" si="99"/>
        <v>301316.77999999997</v>
      </c>
      <c r="CA32" s="179">
        <f t="shared" si="101"/>
        <v>308247.06999999995</v>
      </c>
      <c r="CB32" s="203">
        <f t="shared" si="58"/>
        <v>29283.471649999996</v>
      </c>
      <c r="CC32" s="198">
        <f t="shared" si="69"/>
        <v>315336.74999999994</v>
      </c>
      <c r="CD32" s="206">
        <f t="shared" si="59"/>
        <v>29956.991249999995</v>
      </c>
      <c r="CE32" s="150">
        <f t="shared" si="70"/>
        <v>322589.49999999994</v>
      </c>
      <c r="CF32" s="206">
        <f t="shared" si="60"/>
        <v>30646.002499999995</v>
      </c>
      <c r="CG32" s="150">
        <f t="shared" si="71"/>
        <v>330009.05999999994</v>
      </c>
      <c r="CH32" s="206">
        <f t="shared" si="61"/>
        <v>31350.860699999994</v>
      </c>
      <c r="CI32" s="150">
        <f t="shared" si="72"/>
        <v>337599.26999999996</v>
      </c>
      <c r="CJ32" s="206">
        <f t="shared" si="62"/>
        <v>32071.930649999998</v>
      </c>
      <c r="CK32" s="150">
        <f t="shared" si="73"/>
        <v>345364.05</v>
      </c>
      <c r="CL32" s="206">
        <f t="shared" si="63"/>
        <v>32809.584750000002</v>
      </c>
      <c r="CM32" s="150">
        <f t="shared" si="74"/>
        <v>353307.42</v>
      </c>
      <c r="CN32" s="150">
        <f t="shared" si="75"/>
        <v>361433.49</v>
      </c>
      <c r="CO32" s="157"/>
      <c r="CP32" s="148"/>
      <c r="CQ32" s="148"/>
      <c r="CR32" s="148"/>
      <c r="CS32" s="148"/>
      <c r="CT32" s="148"/>
      <c r="CU32" s="151">
        <v>103948</v>
      </c>
      <c r="CV32" s="150">
        <f t="shared" si="81"/>
        <v>109145.4</v>
      </c>
      <c r="CW32" s="150">
        <f t="shared" ref="CW32:DG32" si="104">CV32+ROUND(CV32*CW$6,2)</f>
        <v>125408.06</v>
      </c>
      <c r="CX32" s="150">
        <f t="shared" si="104"/>
        <v>125909.69</v>
      </c>
      <c r="CY32" s="150">
        <f t="shared" si="104"/>
        <v>128805.61</v>
      </c>
      <c r="CZ32" s="155">
        <f t="shared" si="104"/>
        <v>132025.75</v>
      </c>
      <c r="DA32" s="155">
        <f t="shared" si="104"/>
        <v>135326.39000000001</v>
      </c>
      <c r="DB32" s="155">
        <f t="shared" si="104"/>
        <v>138709.55000000002</v>
      </c>
      <c r="DC32" s="155">
        <f t="shared" si="104"/>
        <v>142177.29</v>
      </c>
      <c r="DD32" s="155">
        <f t="shared" si="104"/>
        <v>145731.72</v>
      </c>
      <c r="DE32" s="155">
        <f t="shared" si="104"/>
        <v>149375.01</v>
      </c>
      <c r="DF32" s="155">
        <f t="shared" si="104"/>
        <v>153109.39000000001</v>
      </c>
      <c r="DG32" s="155">
        <f t="shared" si="104"/>
        <v>156937.12000000002</v>
      </c>
      <c r="DH32" s="236">
        <v>0</v>
      </c>
      <c r="DI32" s="243">
        <f t="shared" si="77"/>
        <v>308247.06999999995</v>
      </c>
      <c r="DJ32" s="248">
        <f t="shared" si="65"/>
        <v>1247.9638461538459</v>
      </c>
      <c r="DK32" s="382">
        <f>CA32/'1.piel'!M31</f>
        <v>1247.9638461538459</v>
      </c>
      <c r="DL32">
        <f>DH32/'1.piel'!G31</f>
        <v>0</v>
      </c>
    </row>
    <row r="33" spans="2:116" x14ac:dyDescent="0.25">
      <c r="B33" s="52">
        <v>67</v>
      </c>
      <c r="C33" s="53" t="s">
        <v>110</v>
      </c>
      <c r="D33" s="36" t="s">
        <v>250</v>
      </c>
      <c r="E33" s="110">
        <v>2204</v>
      </c>
      <c r="F33" s="178">
        <v>2122</v>
      </c>
      <c r="G33" s="36">
        <v>0</v>
      </c>
      <c r="H33" s="99">
        <f t="shared" si="4"/>
        <v>2122</v>
      </c>
      <c r="I33" s="94">
        <f t="shared" si="5"/>
        <v>0.65127238454288405</v>
      </c>
      <c r="J33" s="89">
        <v>1382</v>
      </c>
      <c r="K33" s="98">
        <f t="shared" si="6"/>
        <v>0.34872761545711595</v>
      </c>
      <c r="L33" s="99">
        <f t="shared" si="7"/>
        <v>740</v>
      </c>
      <c r="M33" s="174">
        <f t="shared" si="8"/>
        <v>16.206</v>
      </c>
      <c r="N33" s="64">
        <f t="shared" si="9"/>
        <v>36.463500000000003</v>
      </c>
      <c r="O33" s="64">
        <f t="shared" si="10"/>
        <v>16.206</v>
      </c>
      <c r="P33" s="64">
        <f t="shared" si="11"/>
        <v>3.2412000000000001</v>
      </c>
      <c r="Q33" s="64">
        <f t="shared" si="12"/>
        <v>0.54020000000000001</v>
      </c>
      <c r="R33" s="64">
        <f t="shared" si="13"/>
        <v>3.5112999999999999</v>
      </c>
      <c r="S33" s="64">
        <f t="shared" si="14"/>
        <v>5.9421999999999997</v>
      </c>
      <c r="T33" s="64">
        <f t="shared" si="15"/>
        <v>4.0514999999999999</v>
      </c>
      <c r="U33" s="64">
        <f t="shared" si="16"/>
        <v>0.81030000000000002</v>
      </c>
      <c r="V33" s="64">
        <f t="shared" si="17"/>
        <v>0.13505</v>
      </c>
      <c r="W33" s="64">
        <f t="shared" si="18"/>
        <v>5.1318999999999999</v>
      </c>
      <c r="X33" s="64">
        <f t="shared" si="19"/>
        <v>8.6432000000000002</v>
      </c>
      <c r="Y33" s="64">
        <f t="shared" si="20"/>
        <v>4.0514999999999999</v>
      </c>
      <c r="Z33" s="64">
        <f t="shared" si="21"/>
        <v>0</v>
      </c>
      <c r="AA33" s="64">
        <f t="shared" si="22"/>
        <v>0</v>
      </c>
      <c r="AB33" s="64">
        <f t="shared" si="23"/>
        <v>7.5628000000000002</v>
      </c>
      <c r="AC33" s="64">
        <f t="shared" si="24"/>
        <v>21.8781</v>
      </c>
      <c r="AD33" s="64">
        <f t="shared" si="25"/>
        <v>8.1029999999999998</v>
      </c>
      <c r="AE33" s="64">
        <f t="shared" si="26"/>
        <v>2.4308999999999998</v>
      </c>
      <c r="AF33" s="64">
        <f t="shared" si="27"/>
        <v>0.40515000000000001</v>
      </c>
      <c r="AG33" s="65">
        <f t="shared" si="28"/>
        <v>30.265799999999999</v>
      </c>
      <c r="AH33" s="65">
        <f t="shared" si="29"/>
        <v>68.098050000000001</v>
      </c>
      <c r="AI33" s="65">
        <f t="shared" si="30"/>
        <v>30.265799999999999</v>
      </c>
      <c r="AJ33" s="65">
        <f t="shared" si="31"/>
        <v>6.0531600000000001</v>
      </c>
      <c r="AK33" s="65">
        <f t="shared" si="32"/>
        <v>1.0088600000000001</v>
      </c>
      <c r="AL33" s="66">
        <v>0.9</v>
      </c>
      <c r="AM33" s="66">
        <v>0.75</v>
      </c>
      <c r="AN33" s="66">
        <v>0.9</v>
      </c>
      <c r="AO33" s="66">
        <v>0.1</v>
      </c>
      <c r="AP33" s="66">
        <v>0.1</v>
      </c>
      <c r="AQ33" s="65">
        <f t="shared" si="33"/>
        <v>30.399389999999997</v>
      </c>
      <c r="AR33" s="65">
        <f t="shared" si="34"/>
        <v>55.530187499999997</v>
      </c>
      <c r="AS33" s="65">
        <f t="shared" si="35"/>
        <v>30.885569999999998</v>
      </c>
      <c r="AT33" s="65">
        <f t="shared" si="36"/>
        <v>0.68634600000000001</v>
      </c>
      <c r="AU33" s="65">
        <f t="shared" si="37"/>
        <v>0.11439100000000001</v>
      </c>
      <c r="AV33" s="65">
        <f t="shared" si="38"/>
        <v>3.3777100000000004</v>
      </c>
      <c r="AW33" s="65">
        <f t="shared" si="39"/>
        <v>18.510062500000004</v>
      </c>
      <c r="AX33" s="65">
        <f t="shared" si="40"/>
        <v>3.4317299999999982</v>
      </c>
      <c r="AY33" s="65">
        <f t="shared" si="41"/>
        <v>6.1771139999999995</v>
      </c>
      <c r="AZ33" s="65">
        <f t="shared" si="42"/>
        <v>1.0295190000000001</v>
      </c>
      <c r="BA33" s="67">
        <f t="shared" si="43"/>
        <v>46.471800000000002</v>
      </c>
      <c r="BB33" s="67">
        <f t="shared" si="44"/>
        <v>104.56155000000001</v>
      </c>
      <c r="BC33" s="67">
        <f t="shared" si="45"/>
        <v>46.471800000000002</v>
      </c>
      <c r="BD33" s="68">
        <f t="shared" si="46"/>
        <v>9.2943600000000011</v>
      </c>
      <c r="BE33" s="68">
        <f t="shared" si="47"/>
        <v>1.5490600000000001</v>
      </c>
      <c r="BF33" s="67">
        <f t="shared" si="48"/>
        <v>10.94051</v>
      </c>
      <c r="BG33" s="67">
        <f t="shared" si="49"/>
        <v>40.388162500000007</v>
      </c>
      <c r="BH33" s="67">
        <f t="shared" si="50"/>
        <v>11.534729999999998</v>
      </c>
      <c r="BI33" s="68">
        <f t="shared" si="51"/>
        <v>8.6080139999999989</v>
      </c>
      <c r="BJ33" s="68">
        <f t="shared" si="52"/>
        <v>1.434669</v>
      </c>
      <c r="BK33" s="67">
        <f t="shared" si="53"/>
        <v>35.531289999999998</v>
      </c>
      <c r="BL33" s="67">
        <f t="shared" si="54"/>
        <v>64.17338749999999</v>
      </c>
      <c r="BM33" s="67">
        <f t="shared" si="55"/>
        <v>34.937069999999999</v>
      </c>
      <c r="BN33" s="68">
        <f t="shared" si="56"/>
        <v>0.68634600000000001</v>
      </c>
      <c r="BO33" s="187">
        <f t="shared" si="57"/>
        <v>0.11439100000000001</v>
      </c>
      <c r="BP33" s="157"/>
      <c r="BQ33" s="148"/>
      <c r="BR33" s="148"/>
      <c r="BS33" s="150"/>
      <c r="BT33" s="148"/>
      <c r="BU33" s="148"/>
      <c r="BV33" s="151">
        <f>173190+(525750+322450+79500+142000+327250+455850+112050+66000+130650+156925+154950)*0.6</f>
        <v>1657215</v>
      </c>
      <c r="BW33" s="150">
        <f t="shared" si="80"/>
        <v>1740075.75</v>
      </c>
      <c r="BX33" s="150">
        <f t="shared" si="66"/>
        <v>1999347.04</v>
      </c>
      <c r="BY33" s="150">
        <f t="shared" si="67"/>
        <v>2007344.43</v>
      </c>
      <c r="BZ33" s="155">
        <f t="shared" si="99"/>
        <v>2053513.3499999999</v>
      </c>
      <c r="CA33" s="179">
        <f t="shared" si="101"/>
        <v>2100744.1599999997</v>
      </c>
      <c r="CB33" s="203">
        <f t="shared" si="58"/>
        <v>199570.69519999996</v>
      </c>
      <c r="CC33" s="198">
        <f t="shared" si="69"/>
        <v>2149061.2799999998</v>
      </c>
      <c r="CD33" s="206">
        <f t="shared" si="59"/>
        <v>204160.8216</v>
      </c>
      <c r="CE33" s="150">
        <f t="shared" si="70"/>
        <v>2198489.69</v>
      </c>
      <c r="CF33" s="206">
        <f t="shared" si="60"/>
        <v>208856.52054999999</v>
      </c>
      <c r="CG33" s="150">
        <f t="shared" si="71"/>
        <v>2249054.9499999997</v>
      </c>
      <c r="CH33" s="206">
        <f t="shared" si="61"/>
        <v>213660.22024999998</v>
      </c>
      <c r="CI33" s="150">
        <f t="shared" si="72"/>
        <v>2300783.2099999995</v>
      </c>
      <c r="CJ33" s="206">
        <f t="shared" si="62"/>
        <v>218574.40494999997</v>
      </c>
      <c r="CK33" s="150">
        <f t="shared" si="73"/>
        <v>2353701.2199999993</v>
      </c>
      <c r="CL33" s="206">
        <f t="shared" si="63"/>
        <v>223601.61589999995</v>
      </c>
      <c r="CM33" s="150">
        <f t="shared" si="74"/>
        <v>2407836.3499999992</v>
      </c>
      <c r="CN33" s="150">
        <f t="shared" si="75"/>
        <v>2463216.5899999994</v>
      </c>
      <c r="CO33" s="157"/>
      <c r="CP33" s="148"/>
      <c r="CQ33" s="148"/>
      <c r="CR33" s="148"/>
      <c r="CS33" s="148"/>
      <c r="CT33" s="148"/>
      <c r="CU33" s="151">
        <f>156000+82500+152950</f>
        <v>391450</v>
      </c>
      <c r="CV33" s="150">
        <f t="shared" si="81"/>
        <v>411022.5</v>
      </c>
      <c r="CW33" s="150">
        <f t="shared" ref="CW33:DG33" si="105">CV33+ROUND(CV33*CW$6,2)</f>
        <v>472264.85</v>
      </c>
      <c r="CX33" s="150">
        <f t="shared" si="105"/>
        <v>474153.91</v>
      </c>
      <c r="CY33" s="150">
        <f t="shared" si="105"/>
        <v>485059.44999999995</v>
      </c>
      <c r="CZ33" s="155">
        <f t="shared" si="105"/>
        <v>497185.93999999994</v>
      </c>
      <c r="DA33" s="155">
        <f t="shared" si="105"/>
        <v>509615.58999999997</v>
      </c>
      <c r="DB33" s="155">
        <f t="shared" si="105"/>
        <v>522355.98</v>
      </c>
      <c r="DC33" s="155">
        <f t="shared" si="105"/>
        <v>535414.88</v>
      </c>
      <c r="DD33" s="155">
        <f t="shared" si="105"/>
        <v>548800.25</v>
      </c>
      <c r="DE33" s="155">
        <f t="shared" si="105"/>
        <v>562520.26</v>
      </c>
      <c r="DF33" s="155">
        <f t="shared" si="105"/>
        <v>576583.27</v>
      </c>
      <c r="DG33" s="155">
        <f t="shared" si="105"/>
        <v>590997.85</v>
      </c>
      <c r="DH33" s="236">
        <v>0</v>
      </c>
      <c r="DI33" s="243">
        <f t="shared" si="77"/>
        <v>2100744.1599999997</v>
      </c>
      <c r="DJ33" s="248">
        <f t="shared" si="65"/>
        <v>2838.8434594594592</v>
      </c>
      <c r="DK33" s="382">
        <f>CA33/'1.piel'!M32</f>
        <v>2838.8434594594592</v>
      </c>
      <c r="DL33">
        <f>DH33/'1.piel'!G32</f>
        <v>0</v>
      </c>
    </row>
    <row r="34" spans="2:116" x14ac:dyDescent="0.25">
      <c r="B34" s="52">
        <v>68</v>
      </c>
      <c r="C34" s="53" t="s">
        <v>111</v>
      </c>
      <c r="D34" s="40" t="s">
        <v>250</v>
      </c>
      <c r="E34" s="110">
        <v>2168</v>
      </c>
      <c r="F34" s="178">
        <v>2394</v>
      </c>
      <c r="G34" s="36">
        <v>0</v>
      </c>
      <c r="H34" s="99">
        <f t="shared" si="4"/>
        <v>2394</v>
      </c>
      <c r="I34" s="94">
        <f t="shared" si="5"/>
        <v>0.51336675020885547</v>
      </c>
      <c r="J34" s="89">
        <v>1229</v>
      </c>
      <c r="K34" s="98">
        <f t="shared" si="6"/>
        <v>0.48663324979114453</v>
      </c>
      <c r="L34" s="99">
        <f t="shared" si="7"/>
        <v>1165</v>
      </c>
      <c r="M34" s="174">
        <f t="shared" si="8"/>
        <v>25.513500000000001</v>
      </c>
      <c r="N34" s="64">
        <f t="shared" si="9"/>
        <v>57.405374999999999</v>
      </c>
      <c r="O34" s="64">
        <f t="shared" si="10"/>
        <v>25.513500000000001</v>
      </c>
      <c r="P34" s="64">
        <f t="shared" si="11"/>
        <v>5.1026999999999996</v>
      </c>
      <c r="Q34" s="64">
        <f t="shared" si="12"/>
        <v>0.85045000000000004</v>
      </c>
      <c r="R34" s="64">
        <f t="shared" si="13"/>
        <v>5.5279249999999998</v>
      </c>
      <c r="S34" s="64">
        <f t="shared" si="14"/>
        <v>9.3549500000000005</v>
      </c>
      <c r="T34" s="64">
        <f t="shared" si="15"/>
        <v>6.3783750000000001</v>
      </c>
      <c r="U34" s="64">
        <f t="shared" si="16"/>
        <v>1.2756749999999999</v>
      </c>
      <c r="V34" s="64">
        <f t="shared" si="17"/>
        <v>0.21261250000000001</v>
      </c>
      <c r="W34" s="64">
        <f t="shared" si="18"/>
        <v>8.0792750000000009</v>
      </c>
      <c r="X34" s="64">
        <f t="shared" si="19"/>
        <v>13.607200000000001</v>
      </c>
      <c r="Y34" s="64">
        <f t="shared" si="20"/>
        <v>6.3783750000000001</v>
      </c>
      <c r="Z34" s="64">
        <f t="shared" si="21"/>
        <v>0</v>
      </c>
      <c r="AA34" s="64">
        <f t="shared" si="22"/>
        <v>0</v>
      </c>
      <c r="AB34" s="64">
        <f t="shared" si="23"/>
        <v>11.9063</v>
      </c>
      <c r="AC34" s="64">
        <f t="shared" si="24"/>
        <v>34.443224999999998</v>
      </c>
      <c r="AD34" s="64">
        <f t="shared" si="25"/>
        <v>12.75675</v>
      </c>
      <c r="AE34" s="64">
        <f t="shared" si="26"/>
        <v>3.8270249999999999</v>
      </c>
      <c r="AF34" s="64">
        <f t="shared" si="27"/>
        <v>0.63783749999999995</v>
      </c>
      <c r="AG34" s="65">
        <f t="shared" si="28"/>
        <v>26.915099999999999</v>
      </c>
      <c r="AH34" s="65">
        <f t="shared" si="29"/>
        <v>60.558974999999997</v>
      </c>
      <c r="AI34" s="65">
        <f t="shared" si="30"/>
        <v>26.915099999999999</v>
      </c>
      <c r="AJ34" s="65">
        <f t="shared" si="31"/>
        <v>5.3830200000000001</v>
      </c>
      <c r="AK34" s="65">
        <f t="shared" si="32"/>
        <v>0.89717000000000002</v>
      </c>
      <c r="AL34" s="66">
        <v>0.9</v>
      </c>
      <c r="AM34" s="66">
        <v>0.75</v>
      </c>
      <c r="AN34" s="66">
        <v>0.9</v>
      </c>
      <c r="AO34" s="66">
        <v>0.1</v>
      </c>
      <c r="AP34" s="66">
        <v>0.1</v>
      </c>
      <c r="AQ34" s="65">
        <f t="shared" si="33"/>
        <v>29.198722499999999</v>
      </c>
      <c r="AR34" s="65">
        <f t="shared" si="34"/>
        <v>52.43544374999999</v>
      </c>
      <c r="AS34" s="65">
        <f t="shared" si="35"/>
        <v>29.9641275</v>
      </c>
      <c r="AT34" s="65">
        <f t="shared" si="36"/>
        <v>0.6658695</v>
      </c>
      <c r="AU34" s="65">
        <f t="shared" si="37"/>
        <v>0.11097825000000001</v>
      </c>
      <c r="AV34" s="65">
        <f t="shared" si="38"/>
        <v>3.2443024999999999</v>
      </c>
      <c r="AW34" s="65">
        <f t="shared" si="39"/>
        <v>17.478481250000002</v>
      </c>
      <c r="AX34" s="65">
        <f t="shared" si="40"/>
        <v>3.3293475000000008</v>
      </c>
      <c r="AY34" s="65">
        <f t="shared" si="41"/>
        <v>5.9928254999999995</v>
      </c>
      <c r="AZ34" s="65">
        <f t="shared" si="42"/>
        <v>0.99880425000000006</v>
      </c>
      <c r="BA34" s="67">
        <f t="shared" si="43"/>
        <v>52.428600000000003</v>
      </c>
      <c r="BB34" s="67">
        <f t="shared" si="44"/>
        <v>117.96435</v>
      </c>
      <c r="BC34" s="67">
        <f t="shared" si="45"/>
        <v>52.428600000000003</v>
      </c>
      <c r="BD34" s="68">
        <f t="shared" si="46"/>
        <v>10.485720000000001</v>
      </c>
      <c r="BE34" s="68">
        <f t="shared" si="47"/>
        <v>1.74762</v>
      </c>
      <c r="BF34" s="67">
        <f t="shared" si="48"/>
        <v>15.1506025</v>
      </c>
      <c r="BG34" s="67">
        <f t="shared" si="49"/>
        <v>51.92170625</v>
      </c>
      <c r="BH34" s="67">
        <f t="shared" si="50"/>
        <v>16.086097500000001</v>
      </c>
      <c r="BI34" s="68">
        <f t="shared" si="51"/>
        <v>9.8198504999999994</v>
      </c>
      <c r="BJ34" s="68">
        <f t="shared" si="52"/>
        <v>1.6366417499999999</v>
      </c>
      <c r="BK34" s="67">
        <f t="shared" si="53"/>
        <v>37.277997499999998</v>
      </c>
      <c r="BL34" s="67">
        <f t="shared" si="54"/>
        <v>66.042643749999996</v>
      </c>
      <c r="BM34" s="67">
        <f t="shared" si="55"/>
        <v>36.342502500000002</v>
      </c>
      <c r="BN34" s="68">
        <f t="shared" si="56"/>
        <v>0.6658695</v>
      </c>
      <c r="BO34" s="187">
        <f t="shared" si="57"/>
        <v>0.11097825000000001</v>
      </c>
      <c r="BP34" s="157"/>
      <c r="BQ34" s="148"/>
      <c r="BR34" s="148"/>
      <c r="BS34" s="150"/>
      <c r="BT34" s="148"/>
      <c r="BU34" s="151">
        <v>423770</v>
      </c>
      <c r="BV34" s="150">
        <f>BU34+ROUND(BU34*$BV$6,2)</f>
        <v>379697.91999999998</v>
      </c>
      <c r="BW34" s="150">
        <f t="shared" si="80"/>
        <v>398682.82</v>
      </c>
      <c r="BX34" s="150">
        <f t="shared" si="66"/>
        <v>458086.56</v>
      </c>
      <c r="BY34" s="150">
        <f t="shared" si="67"/>
        <v>459918.91</v>
      </c>
      <c r="BZ34" s="155">
        <f t="shared" si="99"/>
        <v>470497.04</v>
      </c>
      <c r="CA34" s="179">
        <f t="shared" si="101"/>
        <v>481318.47</v>
      </c>
      <c r="CB34" s="203">
        <f t="shared" si="58"/>
        <v>45725.254649999995</v>
      </c>
      <c r="CC34" s="198">
        <f t="shared" si="69"/>
        <v>492388.79</v>
      </c>
      <c r="CD34" s="206">
        <f t="shared" si="59"/>
        <v>46776.93505</v>
      </c>
      <c r="CE34" s="150">
        <f t="shared" si="70"/>
        <v>503713.73</v>
      </c>
      <c r="CF34" s="206">
        <f t="shared" si="60"/>
        <v>47852.804349999999</v>
      </c>
      <c r="CG34" s="150">
        <f t="shared" si="71"/>
        <v>515299.14999999997</v>
      </c>
      <c r="CH34" s="206">
        <f t="shared" si="61"/>
        <v>48953.419249999999</v>
      </c>
      <c r="CI34" s="150">
        <f t="shared" si="72"/>
        <v>527151.02999999991</v>
      </c>
      <c r="CJ34" s="206">
        <f t="shared" si="62"/>
        <v>50079.347849999991</v>
      </c>
      <c r="CK34" s="150">
        <f t="shared" si="73"/>
        <v>539275.49999999988</v>
      </c>
      <c r="CL34" s="206">
        <f t="shared" si="63"/>
        <v>51231.172499999986</v>
      </c>
      <c r="CM34" s="150">
        <f t="shared" si="74"/>
        <v>551678.83999999985</v>
      </c>
      <c r="CN34" s="150">
        <f t="shared" si="75"/>
        <v>564367.44999999984</v>
      </c>
      <c r="CO34" s="157"/>
      <c r="CP34" s="148"/>
      <c r="CQ34" s="148"/>
      <c r="CR34" s="148"/>
      <c r="CS34" s="148"/>
      <c r="CT34" s="151">
        <v>75905</v>
      </c>
      <c r="CU34" s="150">
        <f>CT34+ROUND(CT34*CU$6,2)</f>
        <v>68010.880000000005</v>
      </c>
      <c r="CV34" s="150">
        <f t="shared" si="81"/>
        <v>71411.42</v>
      </c>
      <c r="CW34" s="150">
        <f t="shared" ref="CW34:DG34" si="106">CV34+ROUND(CV34*CW$6,2)</f>
        <v>82051.72</v>
      </c>
      <c r="CX34" s="150">
        <f t="shared" si="106"/>
        <v>82379.930000000008</v>
      </c>
      <c r="CY34" s="150">
        <f t="shared" si="106"/>
        <v>84274.670000000013</v>
      </c>
      <c r="CZ34" s="155">
        <f t="shared" si="106"/>
        <v>86381.540000000008</v>
      </c>
      <c r="DA34" s="155">
        <f t="shared" si="106"/>
        <v>88541.08</v>
      </c>
      <c r="DB34" s="155">
        <f t="shared" si="106"/>
        <v>90754.61</v>
      </c>
      <c r="DC34" s="155">
        <f t="shared" si="106"/>
        <v>93023.48</v>
      </c>
      <c r="DD34" s="155">
        <f t="shared" si="106"/>
        <v>95349.069999999992</v>
      </c>
      <c r="DE34" s="155">
        <f t="shared" si="106"/>
        <v>97732.799999999988</v>
      </c>
      <c r="DF34" s="155">
        <f t="shared" si="106"/>
        <v>100176.12</v>
      </c>
      <c r="DG34" s="155">
        <f t="shared" si="106"/>
        <v>102680.51999999999</v>
      </c>
      <c r="DH34" s="236">
        <v>0</v>
      </c>
      <c r="DI34" s="243">
        <f t="shared" si="77"/>
        <v>481318.47</v>
      </c>
      <c r="DJ34" s="248">
        <f t="shared" si="65"/>
        <v>413.1489012875536</v>
      </c>
      <c r="DK34" s="382">
        <f>CA34/'1.piel'!M33</f>
        <v>413.1489012875536</v>
      </c>
      <c r="DL34">
        <f>DH34/'1.piel'!G33</f>
        <v>0</v>
      </c>
    </row>
    <row r="35" spans="2:116" x14ac:dyDescent="0.25">
      <c r="B35" s="52">
        <v>74</v>
      </c>
      <c r="C35" s="53" t="s">
        <v>5</v>
      </c>
      <c r="D35" s="36" t="s">
        <v>250</v>
      </c>
      <c r="E35" s="110">
        <v>2042</v>
      </c>
      <c r="F35" s="178">
        <v>1832</v>
      </c>
      <c r="G35" s="36">
        <v>14</v>
      </c>
      <c r="H35" s="99">
        <f t="shared" si="4"/>
        <v>1846</v>
      </c>
      <c r="I35" s="94">
        <f t="shared" si="5"/>
        <v>0.88100436681222705</v>
      </c>
      <c r="J35" s="89">
        <v>1614</v>
      </c>
      <c r="K35" s="98">
        <f t="shared" si="6"/>
        <v>0.11899563318777293</v>
      </c>
      <c r="L35" s="99">
        <f t="shared" si="7"/>
        <v>218</v>
      </c>
      <c r="M35" s="174">
        <f t="shared" si="8"/>
        <v>4.7742000000000004</v>
      </c>
      <c r="N35" s="64">
        <f t="shared" si="9"/>
        <v>10.741949999999999</v>
      </c>
      <c r="O35" s="64">
        <f t="shared" si="10"/>
        <v>4.7742000000000004</v>
      </c>
      <c r="P35" s="64">
        <f t="shared" si="11"/>
        <v>0.95484000000000002</v>
      </c>
      <c r="Q35" s="64">
        <f t="shared" si="12"/>
        <v>0.15914</v>
      </c>
      <c r="R35" s="64">
        <f t="shared" si="13"/>
        <v>1.0344100000000001</v>
      </c>
      <c r="S35" s="64">
        <f t="shared" si="14"/>
        <v>1.75054</v>
      </c>
      <c r="T35" s="64">
        <f t="shared" si="15"/>
        <v>1.1935500000000001</v>
      </c>
      <c r="U35" s="64">
        <f t="shared" si="16"/>
        <v>0.23871000000000001</v>
      </c>
      <c r="V35" s="64">
        <f t="shared" si="17"/>
        <v>3.9785000000000001E-2</v>
      </c>
      <c r="W35" s="64">
        <f t="shared" si="18"/>
        <v>1.51183</v>
      </c>
      <c r="X35" s="64">
        <f t="shared" si="19"/>
        <v>2.5462400000000001</v>
      </c>
      <c r="Y35" s="64">
        <f t="shared" si="20"/>
        <v>1.1935500000000001</v>
      </c>
      <c r="Z35" s="64">
        <f t="shared" si="21"/>
        <v>0</v>
      </c>
      <c r="AA35" s="64">
        <f t="shared" si="22"/>
        <v>0</v>
      </c>
      <c r="AB35" s="64">
        <f t="shared" si="23"/>
        <v>2.2279599999999999</v>
      </c>
      <c r="AC35" s="64">
        <f t="shared" si="24"/>
        <v>6.4451700000000001</v>
      </c>
      <c r="AD35" s="64">
        <f t="shared" si="25"/>
        <v>2.3871000000000002</v>
      </c>
      <c r="AE35" s="64">
        <f t="shared" si="26"/>
        <v>0.71613000000000004</v>
      </c>
      <c r="AF35" s="64">
        <f t="shared" si="27"/>
        <v>0.119355</v>
      </c>
      <c r="AG35" s="65">
        <f t="shared" si="28"/>
        <v>35.653199999999998</v>
      </c>
      <c r="AH35" s="65">
        <f t="shared" si="29"/>
        <v>80.219700000000003</v>
      </c>
      <c r="AI35" s="65">
        <f t="shared" si="30"/>
        <v>35.653199999999998</v>
      </c>
      <c r="AJ35" s="65">
        <f t="shared" si="31"/>
        <v>7.1306399999999996</v>
      </c>
      <c r="AK35" s="65">
        <f t="shared" si="32"/>
        <v>1.1884399999999999</v>
      </c>
      <c r="AL35" s="66">
        <v>0.9</v>
      </c>
      <c r="AM35" s="66">
        <v>0.75</v>
      </c>
      <c r="AN35" s="66">
        <v>0.9</v>
      </c>
      <c r="AO35" s="66">
        <v>0.1</v>
      </c>
      <c r="AP35" s="66">
        <v>0.1</v>
      </c>
      <c r="AQ35" s="65">
        <f t="shared" si="33"/>
        <v>33.018849000000003</v>
      </c>
      <c r="AR35" s="65">
        <f t="shared" si="34"/>
        <v>61.477680000000007</v>
      </c>
      <c r="AS35" s="65">
        <f t="shared" si="35"/>
        <v>33.162075000000002</v>
      </c>
      <c r="AT35" s="65">
        <f t="shared" si="36"/>
        <v>0.73693500000000001</v>
      </c>
      <c r="AU35" s="65">
        <f t="shared" si="37"/>
        <v>0.1228225</v>
      </c>
      <c r="AV35" s="65">
        <f t="shared" si="38"/>
        <v>3.6687609999999964</v>
      </c>
      <c r="AW35" s="65">
        <f t="shared" si="39"/>
        <v>20.492559999999997</v>
      </c>
      <c r="AX35" s="65">
        <f t="shared" si="40"/>
        <v>3.6846749999999986</v>
      </c>
      <c r="AY35" s="65">
        <f t="shared" si="41"/>
        <v>6.6324149999999999</v>
      </c>
      <c r="AZ35" s="65">
        <f t="shared" si="42"/>
        <v>1.1054024999999998</v>
      </c>
      <c r="BA35" s="67">
        <f t="shared" si="43"/>
        <v>40.427399999999999</v>
      </c>
      <c r="BB35" s="67">
        <f t="shared" si="44"/>
        <v>90.961650000000006</v>
      </c>
      <c r="BC35" s="67">
        <f t="shared" si="45"/>
        <v>40.427399999999999</v>
      </c>
      <c r="BD35" s="68">
        <f t="shared" si="46"/>
        <v>8.0854800000000004</v>
      </c>
      <c r="BE35" s="68">
        <f t="shared" si="47"/>
        <v>1.34758</v>
      </c>
      <c r="BF35" s="67">
        <f t="shared" si="48"/>
        <v>5.8967209999999959</v>
      </c>
      <c r="BG35" s="67">
        <f t="shared" si="49"/>
        <v>26.937729999999998</v>
      </c>
      <c r="BH35" s="67">
        <f t="shared" si="50"/>
        <v>6.0717749999999988</v>
      </c>
      <c r="BI35" s="68">
        <f t="shared" si="51"/>
        <v>7.3485449999999997</v>
      </c>
      <c r="BJ35" s="68">
        <f t="shared" si="52"/>
        <v>1.2247574999999999</v>
      </c>
      <c r="BK35" s="67">
        <f t="shared" si="53"/>
        <v>34.530679000000006</v>
      </c>
      <c r="BL35" s="67">
        <f t="shared" si="54"/>
        <v>64.023920000000004</v>
      </c>
      <c r="BM35" s="67">
        <f t="shared" si="55"/>
        <v>34.355625000000003</v>
      </c>
      <c r="BN35" s="68">
        <f t="shared" si="56"/>
        <v>0.73693500000000001</v>
      </c>
      <c r="BO35" s="187">
        <f t="shared" si="57"/>
        <v>0.1228225</v>
      </c>
      <c r="BP35" s="157"/>
      <c r="BQ35" s="148"/>
      <c r="BR35" s="148"/>
      <c r="BS35" s="148"/>
      <c r="BT35" s="151">
        <f>376200*0.6</f>
        <v>225720</v>
      </c>
      <c r="BU35" s="150">
        <f>BT35+ROUND(BT35*BU$6,2)</f>
        <v>206533.8</v>
      </c>
      <c r="BV35" s="150">
        <f>BU35+ROUND(BU35*BV$6,2)</f>
        <v>185054.28</v>
      </c>
      <c r="BW35" s="150">
        <f t="shared" si="80"/>
        <v>194306.99</v>
      </c>
      <c r="BX35" s="150">
        <f t="shared" si="66"/>
        <v>223258.72999999998</v>
      </c>
      <c r="BY35" s="150">
        <f t="shared" si="67"/>
        <v>224151.75999999998</v>
      </c>
      <c r="BZ35" s="155">
        <f t="shared" si="99"/>
        <v>229307.24999999997</v>
      </c>
      <c r="CA35" s="415">
        <f t="shared" si="101"/>
        <v>234581.31999999998</v>
      </c>
      <c r="CB35" s="203">
        <f t="shared" si="58"/>
        <v>22285.225399999999</v>
      </c>
      <c r="CC35" s="198">
        <f t="shared" si="69"/>
        <v>239976.68999999997</v>
      </c>
      <c r="CD35" s="206">
        <f t="shared" si="59"/>
        <v>22797.785549999997</v>
      </c>
      <c r="CE35" s="150">
        <f t="shared" si="70"/>
        <v>245496.14999999997</v>
      </c>
      <c r="CF35" s="206">
        <f t="shared" si="60"/>
        <v>23322.134249999996</v>
      </c>
      <c r="CG35" s="150">
        <f t="shared" si="71"/>
        <v>251142.55999999997</v>
      </c>
      <c r="CH35" s="206">
        <f t="shared" si="61"/>
        <v>23858.543199999996</v>
      </c>
      <c r="CI35" s="150">
        <f t="shared" si="72"/>
        <v>256918.83999999997</v>
      </c>
      <c r="CJ35" s="206">
        <f t="shared" si="62"/>
        <v>24407.289799999999</v>
      </c>
      <c r="CK35" s="150">
        <f t="shared" si="73"/>
        <v>262827.96999999997</v>
      </c>
      <c r="CL35" s="206">
        <f t="shared" si="63"/>
        <v>24968.657149999999</v>
      </c>
      <c r="CM35" s="150">
        <f t="shared" si="74"/>
        <v>268873.00999999995</v>
      </c>
      <c r="CN35" s="150">
        <f t="shared" si="75"/>
        <v>275057.08999999997</v>
      </c>
      <c r="CO35" s="157"/>
      <c r="CP35" s="148"/>
      <c r="CQ35" s="148"/>
      <c r="CR35" s="148"/>
      <c r="CS35" s="151">
        <f>447600*0.6</f>
        <v>268560</v>
      </c>
      <c r="CT35" s="150">
        <f>CS35+ROUND(CS35*CT$6,2)</f>
        <v>245732.4</v>
      </c>
      <c r="CU35" s="150">
        <f>CT35+ROUND(CT35*CU$6,2)</f>
        <v>220176.22999999998</v>
      </c>
      <c r="CV35" s="150">
        <f t="shared" si="81"/>
        <v>231185.03999999998</v>
      </c>
      <c r="CW35" s="150">
        <f t="shared" ref="CW35:DG35" si="107">CV35+ROUND(CV35*CW$6,2)</f>
        <v>265631.61</v>
      </c>
      <c r="CX35" s="150">
        <f t="shared" si="107"/>
        <v>266694.14</v>
      </c>
      <c r="CY35" s="150">
        <f t="shared" si="107"/>
        <v>272828.11</v>
      </c>
      <c r="CZ35" s="155">
        <f t="shared" si="107"/>
        <v>279648.81</v>
      </c>
      <c r="DA35" s="155">
        <f t="shared" si="107"/>
        <v>286640.02999999997</v>
      </c>
      <c r="DB35" s="155">
        <f t="shared" si="107"/>
        <v>293806.02999999997</v>
      </c>
      <c r="DC35" s="155">
        <f t="shared" si="107"/>
        <v>301151.18</v>
      </c>
      <c r="DD35" s="155">
        <f t="shared" si="107"/>
        <v>308679.96000000002</v>
      </c>
      <c r="DE35" s="155">
        <f t="shared" si="107"/>
        <v>316396.96000000002</v>
      </c>
      <c r="DF35" s="155">
        <f t="shared" si="107"/>
        <v>324306.88</v>
      </c>
      <c r="DG35" s="155">
        <f t="shared" si="107"/>
        <v>332414.55</v>
      </c>
      <c r="DH35" s="236">
        <v>0</v>
      </c>
      <c r="DI35" s="243">
        <f t="shared" si="77"/>
        <v>234581.31999999998</v>
      </c>
      <c r="DJ35" s="248">
        <f t="shared" si="65"/>
        <v>1076.0611009174311</v>
      </c>
      <c r="DK35" s="382">
        <f>CA35/'1.piel'!M34</f>
        <v>1076.0611009174311</v>
      </c>
      <c r="DL35">
        <f>DH35/'1.piel'!G34</f>
        <v>0</v>
      </c>
    </row>
    <row r="36" spans="2:116" x14ac:dyDescent="0.25">
      <c r="B36" s="52">
        <v>75</v>
      </c>
      <c r="C36" s="53" t="s">
        <v>115</v>
      </c>
      <c r="D36" s="36" t="s">
        <v>250</v>
      </c>
      <c r="E36" s="110">
        <v>1987</v>
      </c>
      <c r="F36" s="178">
        <v>2116</v>
      </c>
      <c r="G36" s="63">
        <v>4400</v>
      </c>
      <c r="H36" s="99">
        <f t="shared" si="4"/>
        <v>6516</v>
      </c>
      <c r="I36" s="94">
        <f t="shared" si="5"/>
        <v>0.94187145557655949</v>
      </c>
      <c r="J36" s="89">
        <v>1993</v>
      </c>
      <c r="K36" s="98">
        <f t="shared" si="6"/>
        <v>5.8128544423440454E-2</v>
      </c>
      <c r="L36" s="99">
        <f t="shared" si="7"/>
        <v>123</v>
      </c>
      <c r="M36" s="174">
        <f t="shared" si="8"/>
        <v>2.6937000000000002</v>
      </c>
      <c r="N36" s="64">
        <f t="shared" si="9"/>
        <v>6.0608250000000004</v>
      </c>
      <c r="O36" s="64">
        <f t="shared" si="10"/>
        <v>2.6937000000000002</v>
      </c>
      <c r="P36" s="64">
        <f t="shared" si="11"/>
        <v>0.53874</v>
      </c>
      <c r="Q36" s="64">
        <f t="shared" si="12"/>
        <v>8.9789999999999995E-2</v>
      </c>
      <c r="R36" s="64">
        <f t="shared" si="13"/>
        <v>0.58363500000000001</v>
      </c>
      <c r="S36" s="64">
        <f t="shared" si="14"/>
        <v>0.98768999999999996</v>
      </c>
      <c r="T36" s="64">
        <f t="shared" si="15"/>
        <v>0.67342500000000005</v>
      </c>
      <c r="U36" s="64">
        <f t="shared" si="16"/>
        <v>0.134685</v>
      </c>
      <c r="V36" s="64">
        <f t="shared" si="17"/>
        <v>2.2447499999999999E-2</v>
      </c>
      <c r="W36" s="64">
        <f t="shared" si="18"/>
        <v>0.85300500000000001</v>
      </c>
      <c r="X36" s="64">
        <f t="shared" si="19"/>
        <v>1.4366399999999999</v>
      </c>
      <c r="Y36" s="64">
        <f t="shared" si="20"/>
        <v>0.67342500000000005</v>
      </c>
      <c r="Z36" s="64">
        <f t="shared" si="21"/>
        <v>0</v>
      </c>
      <c r="AA36" s="64">
        <f t="shared" si="22"/>
        <v>0</v>
      </c>
      <c r="AB36" s="64">
        <f t="shared" si="23"/>
        <v>1.2570600000000001</v>
      </c>
      <c r="AC36" s="64">
        <f t="shared" si="24"/>
        <v>3.636495</v>
      </c>
      <c r="AD36" s="64">
        <f t="shared" si="25"/>
        <v>1.3468500000000001</v>
      </c>
      <c r="AE36" s="64">
        <f t="shared" si="26"/>
        <v>0.404055</v>
      </c>
      <c r="AF36" s="64">
        <f t="shared" si="27"/>
        <v>6.73425E-2</v>
      </c>
      <c r="AG36" s="65">
        <f t="shared" si="28"/>
        <v>140.0067</v>
      </c>
      <c r="AH36" s="65">
        <f t="shared" si="29"/>
        <v>315.01507500000002</v>
      </c>
      <c r="AI36" s="65">
        <f t="shared" si="30"/>
        <v>140.0067</v>
      </c>
      <c r="AJ36" s="65">
        <f t="shared" si="31"/>
        <v>28.001339999999999</v>
      </c>
      <c r="AK36" s="65">
        <f t="shared" si="32"/>
        <v>4.6668900000000004</v>
      </c>
      <c r="AL36" s="66">
        <v>0.9</v>
      </c>
      <c r="AM36" s="66">
        <v>0.75</v>
      </c>
      <c r="AN36" s="66">
        <v>0.9</v>
      </c>
      <c r="AO36" s="66">
        <v>0.1</v>
      </c>
      <c r="AP36" s="66">
        <v>0.1</v>
      </c>
      <c r="AQ36" s="65">
        <f t="shared" si="33"/>
        <v>126.53130149999998</v>
      </c>
      <c r="AR36" s="65">
        <f t="shared" si="34"/>
        <v>237.00207375000002</v>
      </c>
      <c r="AS36" s="65">
        <f t="shared" si="35"/>
        <v>126.61211250000001</v>
      </c>
      <c r="AT36" s="65">
        <f t="shared" si="36"/>
        <v>2.8136025</v>
      </c>
      <c r="AU36" s="65">
        <f t="shared" si="37"/>
        <v>0.46893375000000009</v>
      </c>
      <c r="AV36" s="65">
        <f t="shared" si="38"/>
        <v>14.059033499999998</v>
      </c>
      <c r="AW36" s="65">
        <f t="shared" si="39"/>
        <v>79.000691249999988</v>
      </c>
      <c r="AX36" s="65">
        <f t="shared" si="40"/>
        <v>14.068012499999995</v>
      </c>
      <c r="AY36" s="65">
        <f t="shared" si="41"/>
        <v>25.322422500000002</v>
      </c>
      <c r="AZ36" s="65">
        <f t="shared" si="42"/>
        <v>4.2204037500000009</v>
      </c>
      <c r="BA36" s="67">
        <f t="shared" si="43"/>
        <v>142.7004</v>
      </c>
      <c r="BB36" s="67">
        <f t="shared" si="44"/>
        <v>321.07590000000005</v>
      </c>
      <c r="BC36" s="67">
        <f t="shared" si="45"/>
        <v>142.7004</v>
      </c>
      <c r="BD36" s="68">
        <f t="shared" si="46"/>
        <v>28.54008</v>
      </c>
      <c r="BE36" s="68">
        <f t="shared" si="47"/>
        <v>4.7566800000000002</v>
      </c>
      <c r="BF36" s="67">
        <f t="shared" si="48"/>
        <v>15.316093499999997</v>
      </c>
      <c r="BG36" s="67">
        <f t="shared" si="49"/>
        <v>82.637186249999985</v>
      </c>
      <c r="BH36" s="67">
        <f t="shared" si="50"/>
        <v>15.414862499999995</v>
      </c>
      <c r="BI36" s="68">
        <f t="shared" si="51"/>
        <v>25.726477500000001</v>
      </c>
      <c r="BJ36" s="68">
        <f t="shared" si="52"/>
        <v>4.2877462500000005</v>
      </c>
      <c r="BK36" s="67">
        <f t="shared" si="53"/>
        <v>127.38430649999998</v>
      </c>
      <c r="BL36" s="67">
        <f t="shared" si="54"/>
        <v>238.43871375000003</v>
      </c>
      <c r="BM36" s="67">
        <f t="shared" si="55"/>
        <v>127.2855375</v>
      </c>
      <c r="BN36" s="68">
        <f t="shared" si="56"/>
        <v>2.8136025</v>
      </c>
      <c r="BO36" s="187">
        <f t="shared" si="57"/>
        <v>0.46893375000000009</v>
      </c>
      <c r="BP36" s="157"/>
      <c r="BQ36" s="148"/>
      <c r="BR36" s="148"/>
      <c r="BS36" s="148"/>
      <c r="BT36" s="148"/>
      <c r="BU36" s="148"/>
      <c r="BV36" s="151">
        <v>0</v>
      </c>
      <c r="BW36" s="150">
        <f t="shared" si="80"/>
        <v>0</v>
      </c>
      <c r="BX36" s="150">
        <f t="shared" si="66"/>
        <v>0</v>
      </c>
      <c r="BY36" s="150">
        <f t="shared" si="67"/>
        <v>0</v>
      </c>
      <c r="BZ36" s="155">
        <f t="shared" si="99"/>
        <v>0</v>
      </c>
      <c r="CA36" s="179">
        <f t="shared" si="101"/>
        <v>0</v>
      </c>
      <c r="CB36" s="203">
        <f t="shared" si="58"/>
        <v>0</v>
      </c>
      <c r="CC36" s="198">
        <f t="shared" si="69"/>
        <v>0</v>
      </c>
      <c r="CD36" s="206">
        <f t="shared" si="59"/>
        <v>0</v>
      </c>
      <c r="CE36" s="150">
        <f t="shared" si="70"/>
        <v>0</v>
      </c>
      <c r="CF36" s="206">
        <f t="shared" si="60"/>
        <v>0</v>
      </c>
      <c r="CG36" s="150">
        <f t="shared" si="71"/>
        <v>0</v>
      </c>
      <c r="CH36" s="206">
        <f t="shared" si="61"/>
        <v>0</v>
      </c>
      <c r="CI36" s="150">
        <f t="shared" si="72"/>
        <v>0</v>
      </c>
      <c r="CJ36" s="206">
        <f t="shared" si="62"/>
        <v>0</v>
      </c>
      <c r="CK36" s="150">
        <f t="shared" si="73"/>
        <v>0</v>
      </c>
      <c r="CL36" s="206">
        <f t="shared" si="63"/>
        <v>0</v>
      </c>
      <c r="CM36" s="150">
        <f t="shared" si="74"/>
        <v>0</v>
      </c>
      <c r="CN36" s="150">
        <f t="shared" si="75"/>
        <v>0</v>
      </c>
      <c r="CO36" s="157"/>
      <c r="CP36" s="148"/>
      <c r="CQ36" s="148"/>
      <c r="CR36" s="148"/>
      <c r="CS36" s="39"/>
      <c r="CT36" s="148"/>
      <c r="CU36" s="151">
        <v>228780</v>
      </c>
      <c r="CV36" s="150">
        <f t="shared" si="81"/>
        <v>240219</v>
      </c>
      <c r="CW36" s="150">
        <f t="shared" ref="CW36:DG36" si="108">CV36+ROUND(CV36*CW$6,2)</f>
        <v>276011.63</v>
      </c>
      <c r="CX36" s="150">
        <f t="shared" si="108"/>
        <v>277115.68</v>
      </c>
      <c r="CY36" s="150">
        <f t="shared" si="108"/>
        <v>283489.33999999997</v>
      </c>
      <c r="CZ36" s="155">
        <f t="shared" si="108"/>
        <v>290576.56999999995</v>
      </c>
      <c r="DA36" s="155">
        <f t="shared" si="108"/>
        <v>297840.97999999992</v>
      </c>
      <c r="DB36" s="155">
        <f t="shared" si="108"/>
        <v>305286.99999999994</v>
      </c>
      <c r="DC36" s="155">
        <f t="shared" si="108"/>
        <v>312919.17999999993</v>
      </c>
      <c r="DD36" s="155">
        <f t="shared" si="108"/>
        <v>320742.15999999992</v>
      </c>
      <c r="DE36" s="155">
        <f t="shared" si="108"/>
        <v>328760.7099999999</v>
      </c>
      <c r="DF36" s="155">
        <f t="shared" si="108"/>
        <v>336979.72999999992</v>
      </c>
      <c r="DG36" s="155">
        <f t="shared" si="108"/>
        <v>345404.21999999991</v>
      </c>
      <c r="DH36" s="236">
        <v>0</v>
      </c>
      <c r="DI36" s="243">
        <f t="shared" si="77"/>
        <v>0</v>
      </c>
      <c r="DJ36" s="248">
        <f t="shared" si="65"/>
        <v>0</v>
      </c>
      <c r="DK36" s="382">
        <f>CA36/'1.piel'!M35</f>
        <v>0</v>
      </c>
      <c r="DL36">
        <f>DH36/'1.piel'!G35</f>
        <v>0</v>
      </c>
    </row>
    <row r="37" spans="2:116" x14ac:dyDescent="0.25">
      <c r="B37" s="52">
        <v>76</v>
      </c>
      <c r="C37" s="53" t="s">
        <v>113</v>
      </c>
      <c r="D37" s="36" t="s">
        <v>250</v>
      </c>
      <c r="E37" s="110">
        <v>1985</v>
      </c>
      <c r="F37" s="178">
        <v>1775</v>
      </c>
      <c r="G37" s="36">
        <v>200</v>
      </c>
      <c r="H37" s="99">
        <f t="shared" si="4"/>
        <v>1975</v>
      </c>
      <c r="I37" s="94">
        <f t="shared" si="5"/>
        <v>0.4552112676056338</v>
      </c>
      <c r="J37" s="103">
        <v>808</v>
      </c>
      <c r="K37" s="98">
        <f t="shared" si="6"/>
        <v>0.5447887323943662</v>
      </c>
      <c r="L37" s="99">
        <f t="shared" si="7"/>
        <v>967</v>
      </c>
      <c r="M37" s="174">
        <f t="shared" si="8"/>
        <v>21.177299999999999</v>
      </c>
      <c r="N37" s="64">
        <f t="shared" si="9"/>
        <v>47.648924999999998</v>
      </c>
      <c r="O37" s="64">
        <f t="shared" si="10"/>
        <v>21.177299999999999</v>
      </c>
      <c r="P37" s="64">
        <f t="shared" si="11"/>
        <v>4.2354599999999998</v>
      </c>
      <c r="Q37" s="64">
        <f t="shared" si="12"/>
        <v>0.70591000000000004</v>
      </c>
      <c r="R37" s="64">
        <f t="shared" si="13"/>
        <v>4.5884150000000004</v>
      </c>
      <c r="S37" s="64">
        <f t="shared" si="14"/>
        <v>7.7650100000000002</v>
      </c>
      <c r="T37" s="64">
        <f t="shared" si="15"/>
        <v>5.2943249999999997</v>
      </c>
      <c r="U37" s="64">
        <f t="shared" si="16"/>
        <v>1.0588649999999999</v>
      </c>
      <c r="V37" s="64">
        <f t="shared" si="17"/>
        <v>0.17647750000000001</v>
      </c>
      <c r="W37" s="64">
        <f t="shared" si="18"/>
        <v>6.7061450000000002</v>
      </c>
      <c r="X37" s="64">
        <f t="shared" si="19"/>
        <v>11.294560000000001</v>
      </c>
      <c r="Y37" s="64">
        <f t="shared" si="20"/>
        <v>5.2943249999999997</v>
      </c>
      <c r="Z37" s="64">
        <f t="shared" si="21"/>
        <v>0</v>
      </c>
      <c r="AA37" s="64">
        <f t="shared" si="22"/>
        <v>0</v>
      </c>
      <c r="AB37" s="64">
        <f t="shared" si="23"/>
        <v>9.8827400000000001</v>
      </c>
      <c r="AC37" s="64">
        <f t="shared" si="24"/>
        <v>28.589355000000001</v>
      </c>
      <c r="AD37" s="64">
        <f t="shared" si="25"/>
        <v>10.588649999999999</v>
      </c>
      <c r="AE37" s="64">
        <f t="shared" si="26"/>
        <v>3.1765949999999998</v>
      </c>
      <c r="AF37" s="64">
        <f t="shared" si="27"/>
        <v>0.52943249999999997</v>
      </c>
      <c r="AG37" s="65">
        <f t="shared" si="28"/>
        <v>22.075199999999999</v>
      </c>
      <c r="AH37" s="65">
        <f t="shared" si="29"/>
        <v>49.669199999999996</v>
      </c>
      <c r="AI37" s="65">
        <f t="shared" si="30"/>
        <v>22.075199999999999</v>
      </c>
      <c r="AJ37" s="65">
        <f t="shared" si="31"/>
        <v>4.4150400000000003</v>
      </c>
      <c r="AK37" s="65">
        <f t="shared" si="32"/>
        <v>0.73584000000000005</v>
      </c>
      <c r="AL37" s="66">
        <v>0.9</v>
      </c>
      <c r="AM37" s="66">
        <v>0.75</v>
      </c>
      <c r="AN37" s="66">
        <v>0.9</v>
      </c>
      <c r="AO37" s="66">
        <v>0.1</v>
      </c>
      <c r="AP37" s="66">
        <v>0.1</v>
      </c>
      <c r="AQ37" s="65">
        <f t="shared" si="33"/>
        <v>23.997253499999999</v>
      </c>
      <c r="AR37" s="65">
        <f t="shared" si="34"/>
        <v>43.075657499999991</v>
      </c>
      <c r="AS37" s="65">
        <f t="shared" si="35"/>
        <v>24.632572499999998</v>
      </c>
      <c r="AT37" s="65">
        <f t="shared" si="36"/>
        <v>0.5473905</v>
      </c>
      <c r="AU37" s="65">
        <f t="shared" si="37"/>
        <v>9.1231750000000014E-2</v>
      </c>
      <c r="AV37" s="65">
        <f t="shared" si="38"/>
        <v>2.6663615000000007</v>
      </c>
      <c r="AW37" s="65">
        <f t="shared" si="39"/>
        <v>14.358552500000002</v>
      </c>
      <c r="AX37" s="65">
        <f t="shared" si="40"/>
        <v>2.736952500000001</v>
      </c>
      <c r="AY37" s="65">
        <f t="shared" si="41"/>
        <v>4.9265145000000006</v>
      </c>
      <c r="AZ37" s="65">
        <f t="shared" si="42"/>
        <v>0.82108575000000006</v>
      </c>
      <c r="BA37" s="67">
        <f t="shared" si="43"/>
        <v>43.252499999999998</v>
      </c>
      <c r="BB37" s="67">
        <f t="shared" si="44"/>
        <v>97.318124999999995</v>
      </c>
      <c r="BC37" s="67">
        <f t="shared" si="45"/>
        <v>43.252499999999998</v>
      </c>
      <c r="BD37" s="68">
        <f t="shared" si="46"/>
        <v>8.650500000000001</v>
      </c>
      <c r="BE37" s="68">
        <f t="shared" si="47"/>
        <v>1.4417500000000001</v>
      </c>
      <c r="BF37" s="67">
        <f t="shared" si="48"/>
        <v>12.549101500000001</v>
      </c>
      <c r="BG37" s="67">
        <f t="shared" si="49"/>
        <v>42.947907499999999</v>
      </c>
      <c r="BH37" s="67">
        <f t="shared" si="50"/>
        <v>13.3256025</v>
      </c>
      <c r="BI37" s="68">
        <f t="shared" si="51"/>
        <v>8.1031095000000004</v>
      </c>
      <c r="BJ37" s="68">
        <f t="shared" si="52"/>
        <v>1.3505182499999999</v>
      </c>
      <c r="BK37" s="67">
        <f t="shared" si="53"/>
        <v>30.703398499999999</v>
      </c>
      <c r="BL37" s="67">
        <f t="shared" si="54"/>
        <v>54.370217499999995</v>
      </c>
      <c r="BM37" s="67">
        <f t="shared" si="55"/>
        <v>29.926897499999999</v>
      </c>
      <c r="BN37" s="68">
        <f t="shared" si="56"/>
        <v>0.5473905</v>
      </c>
      <c r="BO37" s="187">
        <f t="shared" si="57"/>
        <v>9.1231750000000014E-2</v>
      </c>
      <c r="BP37" s="157"/>
      <c r="BQ37" s="148"/>
      <c r="BR37" s="148"/>
      <c r="BS37" s="148"/>
      <c r="BT37" s="148"/>
      <c r="BU37" s="148"/>
      <c r="BV37" s="151">
        <f>1475500*0.6</f>
        <v>885300</v>
      </c>
      <c r="BW37" s="150">
        <f t="shared" si="80"/>
        <v>929565</v>
      </c>
      <c r="BX37" s="150">
        <f t="shared" si="66"/>
        <v>1068070.19</v>
      </c>
      <c r="BY37" s="150">
        <f t="shared" si="67"/>
        <v>1072342.47</v>
      </c>
      <c r="BZ37" s="155">
        <f t="shared" si="99"/>
        <v>1097006.3499999999</v>
      </c>
      <c r="CA37" s="415">
        <f t="shared" si="101"/>
        <v>1122237.4999999998</v>
      </c>
      <c r="CB37" s="203">
        <f t="shared" si="58"/>
        <v>106612.56249999999</v>
      </c>
      <c r="CC37" s="198">
        <f t="shared" si="69"/>
        <v>1148048.9599999997</v>
      </c>
      <c r="CD37" s="206">
        <f t="shared" si="59"/>
        <v>109064.65119999998</v>
      </c>
      <c r="CE37" s="150">
        <f t="shared" si="70"/>
        <v>1174454.0899999996</v>
      </c>
      <c r="CF37" s="206">
        <f t="shared" si="60"/>
        <v>111573.13854999996</v>
      </c>
      <c r="CG37" s="150">
        <f t="shared" si="71"/>
        <v>1201466.5299999996</v>
      </c>
      <c r="CH37" s="206">
        <f t="shared" si="61"/>
        <v>114139.32034999997</v>
      </c>
      <c r="CI37" s="150">
        <f t="shared" si="72"/>
        <v>1229100.2599999995</v>
      </c>
      <c r="CJ37" s="206">
        <f t="shared" si="62"/>
        <v>116764.52469999995</v>
      </c>
      <c r="CK37" s="150">
        <f t="shared" si="73"/>
        <v>1257369.5699999996</v>
      </c>
      <c r="CL37" s="206">
        <f t="shared" si="63"/>
        <v>119450.10914999996</v>
      </c>
      <c r="CM37" s="150">
        <f t="shared" si="74"/>
        <v>1286289.0699999996</v>
      </c>
      <c r="CN37" s="150">
        <f t="shared" si="75"/>
        <v>1315873.7199999995</v>
      </c>
      <c r="CO37" s="157"/>
      <c r="CP37" s="148"/>
      <c r="CQ37" s="148"/>
      <c r="CR37" s="148"/>
      <c r="CS37" s="148"/>
      <c r="CT37" s="148"/>
      <c r="CU37" s="151">
        <f>310200*0.6</f>
        <v>186120</v>
      </c>
      <c r="CV37" s="150">
        <f t="shared" si="81"/>
        <v>195426</v>
      </c>
      <c r="CW37" s="150">
        <f t="shared" ref="CW37:DG37" si="109">CV37+ROUND(CV37*CW$6,2)</f>
        <v>224544.47</v>
      </c>
      <c r="CX37" s="150">
        <f t="shared" si="109"/>
        <v>225442.65</v>
      </c>
      <c r="CY37" s="150">
        <f t="shared" si="109"/>
        <v>230627.83</v>
      </c>
      <c r="CZ37" s="155">
        <f t="shared" si="109"/>
        <v>236393.53</v>
      </c>
      <c r="DA37" s="155">
        <f t="shared" si="109"/>
        <v>242303.37</v>
      </c>
      <c r="DB37" s="155">
        <f t="shared" si="109"/>
        <v>248360.94999999998</v>
      </c>
      <c r="DC37" s="155">
        <f t="shared" si="109"/>
        <v>254569.96999999997</v>
      </c>
      <c r="DD37" s="155">
        <f t="shared" si="109"/>
        <v>260934.21999999997</v>
      </c>
      <c r="DE37" s="155">
        <f t="shared" si="109"/>
        <v>267457.57999999996</v>
      </c>
      <c r="DF37" s="155">
        <f t="shared" si="109"/>
        <v>274144.01999999996</v>
      </c>
      <c r="DG37" s="155">
        <f t="shared" si="109"/>
        <v>280997.61999999994</v>
      </c>
      <c r="DH37" s="236">
        <v>0</v>
      </c>
      <c r="DI37" s="243">
        <f t="shared" si="77"/>
        <v>1122237.4999999998</v>
      </c>
      <c r="DJ37" s="248">
        <f t="shared" si="65"/>
        <v>1160.5351602895551</v>
      </c>
      <c r="DK37" s="382">
        <f>CA37/'1.piel'!M36</f>
        <v>1160.5351602895551</v>
      </c>
      <c r="DL37">
        <f>DH37/'1.piel'!G36</f>
        <v>0</v>
      </c>
    </row>
    <row r="38" spans="2:116" x14ac:dyDescent="0.25">
      <c r="B38" s="52">
        <v>77</v>
      </c>
      <c r="C38" s="53" t="s">
        <v>114</v>
      </c>
      <c r="D38" s="36" t="s">
        <v>250</v>
      </c>
      <c r="E38" s="110">
        <v>1951</v>
      </c>
      <c r="F38" s="178">
        <v>2109</v>
      </c>
      <c r="G38" s="36">
        <v>0</v>
      </c>
      <c r="H38" s="99">
        <f t="shared" si="4"/>
        <v>2109</v>
      </c>
      <c r="I38" s="94">
        <f t="shared" si="5"/>
        <v>0.92555713608345191</v>
      </c>
      <c r="J38" s="89">
        <v>1952</v>
      </c>
      <c r="K38" s="98">
        <f t="shared" si="6"/>
        <v>7.4442863916548127E-2</v>
      </c>
      <c r="L38" s="99">
        <f t="shared" si="7"/>
        <v>157</v>
      </c>
      <c r="M38" s="174">
        <f t="shared" si="8"/>
        <v>3.4382999999999999</v>
      </c>
      <c r="N38" s="64">
        <f t="shared" si="9"/>
        <v>7.7361750000000002</v>
      </c>
      <c r="O38" s="64">
        <f t="shared" si="10"/>
        <v>3.4382999999999999</v>
      </c>
      <c r="P38" s="64">
        <f t="shared" si="11"/>
        <v>0.68766000000000005</v>
      </c>
      <c r="Q38" s="64">
        <f t="shared" si="12"/>
        <v>0.11461</v>
      </c>
      <c r="R38" s="64">
        <f t="shared" si="13"/>
        <v>0.74496499999999999</v>
      </c>
      <c r="S38" s="64">
        <f t="shared" si="14"/>
        <v>1.26071</v>
      </c>
      <c r="T38" s="64">
        <f t="shared" si="15"/>
        <v>0.85957499999999998</v>
      </c>
      <c r="U38" s="64">
        <f t="shared" si="16"/>
        <v>0.17191500000000001</v>
      </c>
      <c r="V38" s="64">
        <f t="shared" si="17"/>
        <v>2.8652500000000001E-2</v>
      </c>
      <c r="W38" s="64">
        <f t="shared" si="18"/>
        <v>1.088795</v>
      </c>
      <c r="X38" s="64">
        <f t="shared" si="19"/>
        <v>1.8337600000000001</v>
      </c>
      <c r="Y38" s="64">
        <f t="shared" si="20"/>
        <v>0.85957499999999998</v>
      </c>
      <c r="Z38" s="64">
        <f t="shared" si="21"/>
        <v>0</v>
      </c>
      <c r="AA38" s="64">
        <f t="shared" si="22"/>
        <v>0</v>
      </c>
      <c r="AB38" s="64">
        <f t="shared" si="23"/>
        <v>1.6045400000000001</v>
      </c>
      <c r="AC38" s="64">
        <f t="shared" si="24"/>
        <v>4.641705</v>
      </c>
      <c r="AD38" s="64">
        <f t="shared" si="25"/>
        <v>1.71915</v>
      </c>
      <c r="AE38" s="64">
        <f t="shared" si="26"/>
        <v>0.51574500000000001</v>
      </c>
      <c r="AF38" s="64">
        <f t="shared" si="27"/>
        <v>8.5957500000000006E-2</v>
      </c>
      <c r="AG38" s="65">
        <f t="shared" si="28"/>
        <v>42.748800000000003</v>
      </c>
      <c r="AH38" s="65">
        <f t="shared" si="29"/>
        <v>96.184799999999996</v>
      </c>
      <c r="AI38" s="65">
        <f t="shared" si="30"/>
        <v>42.748800000000003</v>
      </c>
      <c r="AJ38" s="65">
        <f t="shared" si="31"/>
        <v>8.5497599999999991</v>
      </c>
      <c r="AK38" s="65">
        <f t="shared" si="32"/>
        <v>1.42496</v>
      </c>
      <c r="AL38" s="66">
        <v>0.9</v>
      </c>
      <c r="AM38" s="66">
        <v>0.75</v>
      </c>
      <c r="AN38" s="66">
        <v>0.9</v>
      </c>
      <c r="AO38" s="66">
        <v>0.1</v>
      </c>
      <c r="AP38" s="66">
        <v>0.1</v>
      </c>
      <c r="AQ38" s="65">
        <f t="shared" si="33"/>
        <v>39.144388500000005</v>
      </c>
      <c r="AR38" s="65">
        <f t="shared" si="34"/>
        <v>73.084132499999996</v>
      </c>
      <c r="AS38" s="65">
        <f t="shared" si="35"/>
        <v>39.2475375</v>
      </c>
      <c r="AT38" s="65">
        <f t="shared" si="36"/>
        <v>0.87216749999999998</v>
      </c>
      <c r="AU38" s="65">
        <f t="shared" si="37"/>
        <v>0.14536125</v>
      </c>
      <c r="AV38" s="65">
        <f t="shared" si="38"/>
        <v>4.3493764999999982</v>
      </c>
      <c r="AW38" s="65">
        <f t="shared" si="39"/>
        <v>24.361377500000003</v>
      </c>
      <c r="AX38" s="65">
        <f t="shared" si="40"/>
        <v>4.3608375000000024</v>
      </c>
      <c r="AY38" s="65">
        <f t="shared" si="41"/>
        <v>7.8495074999999996</v>
      </c>
      <c r="AZ38" s="65">
        <f t="shared" si="42"/>
        <v>1.3082512500000001</v>
      </c>
      <c r="BA38" s="67">
        <f t="shared" si="43"/>
        <v>46.187100000000001</v>
      </c>
      <c r="BB38" s="67">
        <f t="shared" si="44"/>
        <v>103.920975</v>
      </c>
      <c r="BC38" s="67">
        <f t="shared" si="45"/>
        <v>46.187100000000001</v>
      </c>
      <c r="BD38" s="68">
        <f t="shared" si="46"/>
        <v>9.2374199999999984</v>
      </c>
      <c r="BE38" s="68">
        <f t="shared" si="47"/>
        <v>1.5395700000000001</v>
      </c>
      <c r="BF38" s="67">
        <f t="shared" si="48"/>
        <v>5.9539164999999983</v>
      </c>
      <c r="BG38" s="67">
        <f t="shared" si="49"/>
        <v>29.003082500000005</v>
      </c>
      <c r="BH38" s="67">
        <f t="shared" si="50"/>
        <v>6.0799875000000023</v>
      </c>
      <c r="BI38" s="68">
        <f t="shared" si="51"/>
        <v>8.3652525000000004</v>
      </c>
      <c r="BJ38" s="68">
        <f t="shared" si="52"/>
        <v>1.39420875</v>
      </c>
      <c r="BK38" s="67">
        <f t="shared" si="53"/>
        <v>40.233183500000003</v>
      </c>
      <c r="BL38" s="67">
        <f t="shared" si="54"/>
        <v>74.917892499999994</v>
      </c>
      <c r="BM38" s="67">
        <f t="shared" si="55"/>
        <v>40.107112499999999</v>
      </c>
      <c r="BN38" s="68">
        <f t="shared" si="56"/>
        <v>0.87216749999999998</v>
      </c>
      <c r="BO38" s="187">
        <f t="shared" si="57"/>
        <v>0.14536125</v>
      </c>
      <c r="BP38" s="157"/>
      <c r="BQ38" s="148"/>
      <c r="BR38" s="148"/>
      <c r="BS38" s="148"/>
      <c r="BT38" s="148"/>
      <c r="BU38" s="148"/>
      <c r="BV38" s="151">
        <v>243015</v>
      </c>
      <c r="BW38" s="150">
        <f t="shared" si="80"/>
        <v>255165.75</v>
      </c>
      <c r="BX38" s="150">
        <f t="shared" si="66"/>
        <v>293185.45</v>
      </c>
      <c r="BY38" s="150">
        <f t="shared" si="67"/>
        <v>294358.19</v>
      </c>
      <c r="BZ38" s="155">
        <f t="shared" si="99"/>
        <v>301128.43</v>
      </c>
      <c r="CA38" s="179">
        <f>BZ38+ROUND(BZ38*$BZ$6,2)+DH38</f>
        <v>927109.14999999991</v>
      </c>
      <c r="CB38" s="203">
        <f t="shared" si="58"/>
        <v>88075.369249999989</v>
      </c>
      <c r="CC38" s="198">
        <f t="shared" si="69"/>
        <v>948432.65999999992</v>
      </c>
      <c r="CD38" s="206">
        <f t="shared" si="59"/>
        <v>90101.102699999989</v>
      </c>
      <c r="CE38" s="150">
        <f t="shared" si="70"/>
        <v>970246.60999999987</v>
      </c>
      <c r="CF38" s="206">
        <f t="shared" si="60"/>
        <v>92173.427949999983</v>
      </c>
      <c r="CG38" s="150">
        <f t="shared" si="71"/>
        <v>992562.27999999991</v>
      </c>
      <c r="CH38" s="206">
        <f t="shared" si="61"/>
        <v>94293.416599999997</v>
      </c>
      <c r="CI38" s="150">
        <f t="shared" si="72"/>
        <v>1015391.21</v>
      </c>
      <c r="CJ38" s="206">
        <f t="shared" si="62"/>
        <v>96462.164949999991</v>
      </c>
      <c r="CK38" s="150">
        <f t="shared" si="73"/>
        <v>1038745.21</v>
      </c>
      <c r="CL38" s="206">
        <f t="shared" si="63"/>
        <v>98680.794949999996</v>
      </c>
      <c r="CM38" s="150">
        <f t="shared" si="74"/>
        <v>1062636.3499999999</v>
      </c>
      <c r="CN38" s="150">
        <f t="shared" si="75"/>
        <v>1087076.9899999998</v>
      </c>
      <c r="CO38" s="157"/>
      <c r="CP38" s="148"/>
      <c r="CQ38" s="148"/>
      <c r="CR38" s="148"/>
      <c r="CS38" s="148"/>
      <c r="CT38" s="148"/>
      <c r="CU38" s="151">
        <v>33335</v>
      </c>
      <c r="CV38" s="150">
        <f t="shared" si="81"/>
        <v>35001.75</v>
      </c>
      <c r="CW38" s="150">
        <f t="shared" ref="CW38:DG38" si="110">CV38+ROUND(CV38*CW$6,2)</f>
        <v>40217.01</v>
      </c>
      <c r="CX38" s="150">
        <f t="shared" si="110"/>
        <v>40377.880000000005</v>
      </c>
      <c r="CY38" s="150">
        <f t="shared" si="110"/>
        <v>41306.570000000007</v>
      </c>
      <c r="CZ38" s="155">
        <f t="shared" si="110"/>
        <v>42339.23000000001</v>
      </c>
      <c r="DA38" s="155">
        <f t="shared" si="110"/>
        <v>43397.710000000014</v>
      </c>
      <c r="DB38" s="155">
        <f t="shared" si="110"/>
        <v>44482.650000000016</v>
      </c>
      <c r="DC38" s="155">
        <f t="shared" si="110"/>
        <v>45594.720000000016</v>
      </c>
      <c r="DD38" s="155">
        <f t="shared" si="110"/>
        <v>46734.590000000018</v>
      </c>
      <c r="DE38" s="155">
        <f t="shared" si="110"/>
        <v>47902.950000000019</v>
      </c>
      <c r="DF38" s="155">
        <f t="shared" si="110"/>
        <v>49100.520000000019</v>
      </c>
      <c r="DG38" s="155">
        <f t="shared" si="110"/>
        <v>50328.030000000021</v>
      </c>
      <c r="DH38" s="236">
        <f>$DM$28*'1.piel'!I37</f>
        <v>619054.7699999999</v>
      </c>
      <c r="DI38" s="243">
        <f>SUM(CA38,DH38)-DH38</f>
        <v>927109.15</v>
      </c>
      <c r="DJ38" s="248">
        <f t="shared" si="65"/>
        <v>2255.6598089171976</v>
      </c>
      <c r="DK38" s="382">
        <f>(CA38-DH38)/'1.piel'!M37</f>
        <v>1962.1298089171976</v>
      </c>
      <c r="DL38">
        <f>DH38/'1.piel'!G37</f>
        <v>293.52999999999997</v>
      </c>
    </row>
    <row r="39" spans="2:116" x14ac:dyDescent="0.25">
      <c r="B39" s="52">
        <v>82</v>
      </c>
      <c r="C39" s="53" t="s">
        <v>120</v>
      </c>
      <c r="D39" s="40" t="s">
        <v>250</v>
      </c>
      <c r="E39" s="110">
        <v>1673</v>
      </c>
      <c r="F39" s="178">
        <v>1915</v>
      </c>
      <c r="G39" s="36">
        <v>0</v>
      </c>
      <c r="H39" s="99">
        <f t="shared" si="4"/>
        <v>1915</v>
      </c>
      <c r="I39" s="94">
        <f t="shared" si="5"/>
        <v>0.65848563968668405</v>
      </c>
      <c r="J39" s="89">
        <v>1261</v>
      </c>
      <c r="K39" s="98">
        <f t="shared" si="6"/>
        <v>0.34151436031331595</v>
      </c>
      <c r="L39" s="99">
        <f t="shared" si="7"/>
        <v>654</v>
      </c>
      <c r="M39" s="174">
        <f t="shared" si="8"/>
        <v>14.3226</v>
      </c>
      <c r="N39" s="64">
        <f t="shared" si="9"/>
        <v>32.225850000000001</v>
      </c>
      <c r="O39" s="64">
        <f t="shared" si="10"/>
        <v>14.3226</v>
      </c>
      <c r="P39" s="64">
        <f t="shared" si="11"/>
        <v>2.8645200000000002</v>
      </c>
      <c r="Q39" s="64">
        <f t="shared" si="12"/>
        <v>0.47742000000000001</v>
      </c>
      <c r="R39" s="64">
        <f t="shared" si="13"/>
        <v>3.1032299999999999</v>
      </c>
      <c r="S39" s="64">
        <f t="shared" si="14"/>
        <v>5.25162</v>
      </c>
      <c r="T39" s="64">
        <f t="shared" si="15"/>
        <v>3.5806499999999999</v>
      </c>
      <c r="U39" s="64">
        <f t="shared" si="16"/>
        <v>0.71613000000000004</v>
      </c>
      <c r="V39" s="64">
        <f t="shared" si="17"/>
        <v>0.119355</v>
      </c>
      <c r="W39" s="64">
        <f t="shared" si="18"/>
        <v>4.5354900000000002</v>
      </c>
      <c r="X39" s="64">
        <f t="shared" si="19"/>
        <v>7.6387200000000002</v>
      </c>
      <c r="Y39" s="64">
        <f t="shared" si="20"/>
        <v>3.5806499999999999</v>
      </c>
      <c r="Z39" s="64">
        <f t="shared" si="21"/>
        <v>0</v>
      </c>
      <c r="AA39" s="64">
        <f t="shared" si="22"/>
        <v>0</v>
      </c>
      <c r="AB39" s="64">
        <f t="shared" si="23"/>
        <v>6.6838800000000003</v>
      </c>
      <c r="AC39" s="64">
        <f t="shared" si="24"/>
        <v>19.335509999999999</v>
      </c>
      <c r="AD39" s="64">
        <f t="shared" si="25"/>
        <v>7.1612999999999998</v>
      </c>
      <c r="AE39" s="64">
        <f t="shared" si="26"/>
        <v>2.14839</v>
      </c>
      <c r="AF39" s="64">
        <f t="shared" si="27"/>
        <v>0.35806500000000002</v>
      </c>
      <c r="AG39" s="65">
        <f t="shared" si="28"/>
        <v>27.6159</v>
      </c>
      <c r="AH39" s="65">
        <f t="shared" si="29"/>
        <v>62.135775000000002</v>
      </c>
      <c r="AI39" s="65">
        <f t="shared" si="30"/>
        <v>27.6159</v>
      </c>
      <c r="AJ39" s="65">
        <f t="shared" si="31"/>
        <v>5.52318</v>
      </c>
      <c r="AK39" s="65">
        <f t="shared" si="32"/>
        <v>0.92052999999999996</v>
      </c>
      <c r="AL39" s="66">
        <v>0.9</v>
      </c>
      <c r="AM39" s="66">
        <v>0.75</v>
      </c>
      <c r="AN39" s="66">
        <v>0.9</v>
      </c>
      <c r="AO39" s="66">
        <v>0.1</v>
      </c>
      <c r="AP39" s="66">
        <v>0.1</v>
      </c>
      <c r="AQ39" s="65">
        <f t="shared" si="33"/>
        <v>27.647217000000001</v>
      </c>
      <c r="AR39" s="65">
        <f t="shared" si="34"/>
        <v>50.540546249999998</v>
      </c>
      <c r="AS39" s="65">
        <f t="shared" si="35"/>
        <v>28.076895</v>
      </c>
      <c r="AT39" s="65">
        <f t="shared" si="36"/>
        <v>0.62393100000000001</v>
      </c>
      <c r="AU39" s="65">
        <f t="shared" si="37"/>
        <v>0.1039885</v>
      </c>
      <c r="AV39" s="65">
        <f t="shared" si="38"/>
        <v>3.0719129999999986</v>
      </c>
      <c r="AW39" s="65">
        <f t="shared" si="39"/>
        <v>16.846848749999999</v>
      </c>
      <c r="AX39" s="65">
        <f t="shared" si="40"/>
        <v>3.1196549999999981</v>
      </c>
      <c r="AY39" s="65">
        <f t="shared" si="41"/>
        <v>5.6153789999999999</v>
      </c>
      <c r="AZ39" s="65">
        <f t="shared" si="42"/>
        <v>0.93589649999999991</v>
      </c>
      <c r="BA39" s="67">
        <f t="shared" si="43"/>
        <v>41.938499999999998</v>
      </c>
      <c r="BB39" s="67">
        <f t="shared" si="44"/>
        <v>94.361625000000004</v>
      </c>
      <c r="BC39" s="67">
        <f t="shared" si="45"/>
        <v>41.938499999999998</v>
      </c>
      <c r="BD39" s="68">
        <f t="shared" si="46"/>
        <v>8.3877000000000006</v>
      </c>
      <c r="BE39" s="68">
        <f t="shared" si="47"/>
        <v>1.39795</v>
      </c>
      <c r="BF39" s="67">
        <f t="shared" si="48"/>
        <v>9.7557929999999988</v>
      </c>
      <c r="BG39" s="67">
        <f t="shared" si="49"/>
        <v>36.182358749999999</v>
      </c>
      <c r="BH39" s="67">
        <f t="shared" si="50"/>
        <v>10.280954999999999</v>
      </c>
      <c r="BI39" s="68">
        <f t="shared" si="51"/>
        <v>7.7637689999999999</v>
      </c>
      <c r="BJ39" s="68">
        <f t="shared" si="52"/>
        <v>1.2939615</v>
      </c>
      <c r="BK39" s="67">
        <f t="shared" si="53"/>
        <v>32.182707000000001</v>
      </c>
      <c r="BL39" s="67">
        <f t="shared" si="54"/>
        <v>58.179266249999998</v>
      </c>
      <c r="BM39" s="67">
        <f t="shared" si="55"/>
        <v>31.657544999999999</v>
      </c>
      <c r="BN39" s="68">
        <f t="shared" si="56"/>
        <v>0.62393100000000001</v>
      </c>
      <c r="BO39" s="187">
        <f t="shared" si="57"/>
        <v>0.1039885</v>
      </c>
      <c r="BP39" s="157"/>
      <c r="BQ39" s="148"/>
      <c r="BR39" s="148"/>
      <c r="BS39" s="148"/>
      <c r="BT39" s="148"/>
      <c r="BU39" s="148"/>
      <c r="BV39" s="151">
        <f>755650+16000+31850</f>
        <v>803500</v>
      </c>
      <c r="BW39" s="150">
        <f t="shared" si="80"/>
        <v>843675</v>
      </c>
      <c r="BX39" s="150">
        <f t="shared" si="66"/>
        <v>969382.58</v>
      </c>
      <c r="BY39" s="150">
        <f t="shared" si="67"/>
        <v>973260.11</v>
      </c>
      <c r="BZ39" s="155">
        <f t="shared" si="99"/>
        <v>995645.09</v>
      </c>
      <c r="CA39" s="415">
        <f t="shared" ref="CA39:CA42" si="111">BZ39+ROUND(BZ39*$BZ$6,2)+DH39</f>
        <v>1580654.88</v>
      </c>
      <c r="CB39" s="203">
        <f t="shared" si="58"/>
        <v>150162.21359999999</v>
      </c>
      <c r="CC39" s="198">
        <f t="shared" si="69"/>
        <v>1617009.94</v>
      </c>
      <c r="CD39" s="206">
        <f t="shared" si="59"/>
        <v>153615.9443</v>
      </c>
      <c r="CE39" s="150">
        <f t="shared" si="70"/>
        <v>1654201.17</v>
      </c>
      <c r="CF39" s="206">
        <f t="shared" si="60"/>
        <v>157149.11114999998</v>
      </c>
      <c r="CG39" s="150">
        <f t="shared" si="71"/>
        <v>1692247.7999999998</v>
      </c>
      <c r="CH39" s="206">
        <f t="shared" si="61"/>
        <v>160763.541</v>
      </c>
      <c r="CI39" s="150">
        <f t="shared" si="72"/>
        <v>1731169.4999999998</v>
      </c>
      <c r="CJ39" s="206">
        <f t="shared" si="62"/>
        <v>164461.10249999998</v>
      </c>
      <c r="CK39" s="150">
        <f t="shared" si="73"/>
        <v>1770986.3999999997</v>
      </c>
      <c r="CL39" s="206">
        <f t="shared" si="63"/>
        <v>168243.70799999998</v>
      </c>
      <c r="CM39" s="150">
        <f t="shared" si="74"/>
        <v>1811719.0899999996</v>
      </c>
      <c r="CN39" s="150">
        <f t="shared" si="75"/>
        <v>1853388.6299999997</v>
      </c>
      <c r="CO39" s="157"/>
      <c r="CP39" s="148"/>
      <c r="CQ39" s="148"/>
      <c r="CR39" s="148"/>
      <c r="CS39" s="148"/>
      <c r="CT39" s="148"/>
      <c r="CU39" s="151">
        <v>214000</v>
      </c>
      <c r="CV39" s="150">
        <f t="shared" si="81"/>
        <v>224700</v>
      </c>
      <c r="CW39" s="150">
        <f t="shared" ref="CW39:DG39" si="112">CV39+ROUND(CV39*CW$6,2)</f>
        <v>258180.3</v>
      </c>
      <c r="CX39" s="150">
        <f t="shared" si="112"/>
        <v>259213.02</v>
      </c>
      <c r="CY39" s="150">
        <f t="shared" si="112"/>
        <v>265174.92</v>
      </c>
      <c r="CZ39" s="155">
        <f t="shared" si="112"/>
        <v>271804.28999999998</v>
      </c>
      <c r="DA39" s="155">
        <f t="shared" si="112"/>
        <v>278599.39999999997</v>
      </c>
      <c r="DB39" s="155">
        <f t="shared" si="112"/>
        <v>285564.38999999996</v>
      </c>
      <c r="DC39" s="155">
        <f t="shared" si="112"/>
        <v>292703.49999999994</v>
      </c>
      <c r="DD39" s="155">
        <f t="shared" si="112"/>
        <v>300021.08999999997</v>
      </c>
      <c r="DE39" s="155">
        <f t="shared" si="112"/>
        <v>307521.62</v>
      </c>
      <c r="DF39" s="155">
        <f t="shared" si="112"/>
        <v>315209.65999999997</v>
      </c>
      <c r="DG39" s="155">
        <f t="shared" si="112"/>
        <v>323089.89999999997</v>
      </c>
      <c r="DH39" s="236">
        <f>$DM$28*'1.piel'!I38</f>
        <v>562109.94999999995</v>
      </c>
      <c r="DI39" s="243">
        <f t="shared" ref="DI39:DI42" si="113">SUM(CA39,DH39)-DH39</f>
        <v>1580654.8800000001</v>
      </c>
      <c r="DJ39" s="248">
        <f t="shared" si="65"/>
        <v>1850.9381498470946</v>
      </c>
      <c r="DK39" s="382">
        <f>(CA39-DH39)/'1.piel'!M38</f>
        <v>1557.4081498470946</v>
      </c>
      <c r="DL39">
        <f>DH39/'1.piel'!G38</f>
        <v>293.52999999999997</v>
      </c>
    </row>
    <row r="40" spans="2:116" x14ac:dyDescent="0.25">
      <c r="B40" s="52">
        <v>83</v>
      </c>
      <c r="C40" s="53" t="s">
        <v>121</v>
      </c>
      <c r="D40" s="40" t="s">
        <v>250</v>
      </c>
      <c r="E40" s="110">
        <v>1619</v>
      </c>
      <c r="F40" s="178">
        <v>1745</v>
      </c>
      <c r="G40" s="36">
        <v>0</v>
      </c>
      <c r="H40" s="99">
        <f t="shared" ref="H40:H75" si="114">F40+G40</f>
        <v>1745</v>
      </c>
      <c r="I40" s="94">
        <f t="shared" ref="I40:I64" si="115">J40/F40</f>
        <v>0.54842406876790828</v>
      </c>
      <c r="J40" s="89">
        <v>957</v>
      </c>
      <c r="K40" s="98">
        <f t="shared" ref="K40:K64" si="116">L40/F40</f>
        <v>0.45157593123209167</v>
      </c>
      <c r="L40" s="99">
        <f t="shared" ref="L40:L75" si="117">F40-J40</f>
        <v>788</v>
      </c>
      <c r="M40" s="174">
        <f t="shared" ref="M40:M75" si="118">L40*60*365/1000000</f>
        <v>17.257200000000001</v>
      </c>
      <c r="N40" s="64">
        <f t="shared" ref="N40:N75" si="119">L40*135*365/1000000</f>
        <v>38.828699999999998</v>
      </c>
      <c r="O40" s="64">
        <f t="shared" ref="O40:O75" si="120">L40*60*365/1000000</f>
        <v>17.257200000000001</v>
      </c>
      <c r="P40" s="64">
        <f t="shared" ref="P40:P75" si="121">L40*12*365/1000000</f>
        <v>3.4514399999999998</v>
      </c>
      <c r="Q40" s="64">
        <f t="shared" ref="Q40:Q75" si="122">L40*2*365/1000000</f>
        <v>0.57523999999999997</v>
      </c>
      <c r="R40" s="64">
        <f t="shared" ref="R40:R75" si="123">L40*13*365/1000000</f>
        <v>3.7390599999999998</v>
      </c>
      <c r="S40" s="64">
        <f t="shared" ref="S40:S75" si="124">L40*22*365/1000000</f>
        <v>6.3276399999999997</v>
      </c>
      <c r="T40" s="64">
        <f t="shared" ref="T40:T75" si="125">L40*15*365/1000000</f>
        <v>4.3143000000000002</v>
      </c>
      <c r="U40" s="64">
        <f t="shared" ref="U40:U75" si="126">L40*3*365/1000000</f>
        <v>0.86285999999999996</v>
      </c>
      <c r="V40" s="64">
        <f t="shared" ref="V40:V75" si="127">L40*0.5*365/1000000</f>
        <v>0.14380999999999999</v>
      </c>
      <c r="W40" s="64">
        <f t="shared" ref="W40:W75" si="128">L40*19*365/1000000</f>
        <v>5.4647800000000002</v>
      </c>
      <c r="X40" s="64">
        <f t="shared" ref="X40:X75" si="129">L40*32*365/1000000</f>
        <v>9.2038399999999996</v>
      </c>
      <c r="Y40" s="64">
        <f t="shared" ref="Y40:Y75" si="130">L40*15*365/1000000</f>
        <v>4.3143000000000002</v>
      </c>
      <c r="Z40" s="64">
        <f t="shared" ref="Z40:Z75" si="131">L40*0*365/1000000</f>
        <v>0</v>
      </c>
      <c r="AA40" s="64">
        <f t="shared" ref="AA40:AA75" si="132">L40*0*365/1000000</f>
        <v>0</v>
      </c>
      <c r="AB40" s="64">
        <f t="shared" ref="AB40:AB75" si="133">L40*28*365/1000000</f>
        <v>8.0533599999999996</v>
      </c>
      <c r="AC40" s="64">
        <f t="shared" ref="AC40:AC75" si="134">L40*81*365/1000000</f>
        <v>23.297219999999999</v>
      </c>
      <c r="AD40" s="64">
        <f t="shared" ref="AD40:AD75" si="135">L40*30*365/1000000</f>
        <v>8.6286000000000005</v>
      </c>
      <c r="AE40" s="64">
        <f t="shared" ref="AE40:AE75" si="136">L40*9*365/1000000</f>
        <v>2.5885799999999999</v>
      </c>
      <c r="AF40" s="64">
        <f t="shared" ref="AF40:AF75" si="137">L40*1.5*365/1000000</f>
        <v>0.43142999999999998</v>
      </c>
      <c r="AG40" s="65">
        <f t="shared" ref="AG40:AG75" si="138">(J40+G40)*60*365/1000000</f>
        <v>20.958300000000001</v>
      </c>
      <c r="AH40" s="65">
        <f t="shared" ref="AH40:AH75" si="139">($J40+$G40)*135*365/1000000</f>
        <v>47.156174999999998</v>
      </c>
      <c r="AI40" s="65">
        <f t="shared" ref="AI40:AI75" si="140">($J40+$G40)*60*365/1000000</f>
        <v>20.958300000000001</v>
      </c>
      <c r="AJ40" s="65">
        <f t="shared" ref="AJ40:AJ75" si="141">($J40+$G40)*12*365/1000000</f>
        <v>4.1916599999999997</v>
      </c>
      <c r="AK40" s="65">
        <f t="shared" ref="AK40:AK75" si="142">($J40+$G40)*2*365/1000000</f>
        <v>0.69860999999999995</v>
      </c>
      <c r="AL40" s="66">
        <v>0.9</v>
      </c>
      <c r="AM40" s="66">
        <v>0.75</v>
      </c>
      <c r="AN40" s="66">
        <v>0.9</v>
      </c>
      <c r="AO40" s="66">
        <v>0.1</v>
      </c>
      <c r="AP40" s="66">
        <v>0.1</v>
      </c>
      <c r="AQ40" s="65">
        <f t="shared" ref="AQ40:AQ75" si="143">(R40+AG40)*AL40</f>
        <v>22.227623999999999</v>
      </c>
      <c r="AR40" s="65">
        <f t="shared" ref="AR40:AR75" si="144">(S40+AH40)*AM40</f>
        <v>40.112861250000002</v>
      </c>
      <c r="AS40" s="65">
        <f t="shared" ref="AS40:AS75" si="145">(T40+AI40)*AN40</f>
        <v>22.745340000000002</v>
      </c>
      <c r="AT40" s="65">
        <f t="shared" ref="AT40:AT75" si="146">(U40+AJ40)*AO40</f>
        <v>0.50545200000000001</v>
      </c>
      <c r="AU40" s="65">
        <f t="shared" ref="AU40:AU75" si="147">(V40+AK40)*AP40</f>
        <v>8.4241999999999997E-2</v>
      </c>
      <c r="AV40" s="65">
        <f t="shared" ref="AV40:AV75" si="148">R40+AG40-AQ40</f>
        <v>2.469736000000001</v>
      </c>
      <c r="AW40" s="65">
        <f t="shared" ref="AW40:AW75" si="149">S40+AH40-AR40</f>
        <v>13.370953749999998</v>
      </c>
      <c r="AX40" s="65">
        <f t="shared" ref="AX40:AX75" si="150">T40+AI40-AS40</f>
        <v>2.5272599999999983</v>
      </c>
      <c r="AY40" s="65">
        <f t="shared" ref="AY40:AY75" si="151">U40+AJ40-AT40</f>
        <v>4.5490680000000001</v>
      </c>
      <c r="AZ40" s="65">
        <f t="shared" ref="AZ40:AZ75" si="152">V40+AK40-AU40</f>
        <v>0.75817799999999991</v>
      </c>
      <c r="BA40" s="67">
        <f t="shared" ref="BA40:BA75" si="153">M40+AG40</f>
        <v>38.215500000000006</v>
      </c>
      <c r="BB40" s="67">
        <f t="shared" ref="BB40:BB75" si="154">N40+AH40</f>
        <v>85.984874999999988</v>
      </c>
      <c r="BC40" s="67">
        <f t="shared" ref="BC40:BC75" si="155">O40+AI40</f>
        <v>38.215500000000006</v>
      </c>
      <c r="BD40" s="68">
        <f t="shared" ref="BD40:BD75" si="156">P40+AJ40</f>
        <v>7.6430999999999996</v>
      </c>
      <c r="BE40" s="68">
        <f t="shared" ref="BE40:BE75" si="157">Q40+AK40</f>
        <v>1.2738499999999999</v>
      </c>
      <c r="BF40" s="67">
        <f t="shared" ref="BF40:BF75" si="158">AB40+AV40</f>
        <v>10.523096000000001</v>
      </c>
      <c r="BG40" s="67">
        <f t="shared" ref="BG40:BG75" si="159">AC40+AW40</f>
        <v>36.668173749999994</v>
      </c>
      <c r="BH40" s="67">
        <f t="shared" ref="BH40:BH75" si="160">AD40+AX40</f>
        <v>11.155859999999999</v>
      </c>
      <c r="BI40" s="68">
        <f t="shared" ref="BI40:BI75" si="161">AE40+AY40</f>
        <v>7.1376480000000004</v>
      </c>
      <c r="BJ40" s="68">
        <f t="shared" ref="BJ40:BJ75" si="162">AF40+AZ40</f>
        <v>1.1896079999999998</v>
      </c>
      <c r="BK40" s="67">
        <f t="shared" ref="BK40:BK75" si="163">W40+AQ40</f>
        <v>27.692404</v>
      </c>
      <c r="BL40" s="67">
        <f t="shared" ref="BL40:BL75" si="164">X40+AR40</f>
        <v>49.316701250000001</v>
      </c>
      <c r="BM40" s="67">
        <f t="shared" ref="BM40:BM75" si="165">Y40+AS40</f>
        <v>27.059640000000002</v>
      </c>
      <c r="BN40" s="68">
        <f t="shared" ref="BN40:BN75" si="166">Z40+AT40</f>
        <v>0.50545200000000001</v>
      </c>
      <c r="BO40" s="187">
        <f t="shared" ref="BO40:BO75" si="167">AA40+AU40</f>
        <v>8.4241999999999997E-2</v>
      </c>
      <c r="BP40" s="157"/>
      <c r="BQ40" s="148"/>
      <c r="BR40" s="148"/>
      <c r="BS40" s="148"/>
      <c r="BT40" s="148"/>
      <c r="BU40" s="148"/>
      <c r="BV40" s="151">
        <v>579500</v>
      </c>
      <c r="BW40" s="150">
        <f t="shared" si="80"/>
        <v>608475</v>
      </c>
      <c r="BX40" s="150">
        <f t="shared" si="66"/>
        <v>699137.78</v>
      </c>
      <c r="BY40" s="150">
        <f t="shared" si="67"/>
        <v>701934.33000000007</v>
      </c>
      <c r="BZ40" s="155">
        <f t="shared" si="99"/>
        <v>718078.82000000007</v>
      </c>
      <c r="CA40" s="415">
        <f t="shared" si="111"/>
        <v>1246804.48</v>
      </c>
      <c r="CB40" s="203">
        <f t="shared" ref="CB40:CB75" si="168">CA40*9.5%</f>
        <v>118446.4256</v>
      </c>
      <c r="CC40" s="198">
        <f t="shared" si="69"/>
        <v>1275480.98</v>
      </c>
      <c r="CD40" s="206">
        <f t="shared" ref="CD40:CD75" si="169">CC40*9.5%</f>
        <v>121170.6931</v>
      </c>
      <c r="CE40" s="150">
        <f t="shared" si="70"/>
        <v>1304817.04</v>
      </c>
      <c r="CF40" s="206">
        <f t="shared" ref="CF40:CF75" si="170">CE40*9.5%</f>
        <v>123957.61880000001</v>
      </c>
      <c r="CG40" s="150">
        <f t="shared" si="71"/>
        <v>1334827.83</v>
      </c>
      <c r="CH40" s="206">
        <f t="shared" ref="CH40:CH75" si="171">CG40*9.5%</f>
        <v>126808.64385000001</v>
      </c>
      <c r="CI40" s="150">
        <f t="shared" si="72"/>
        <v>1365528.87</v>
      </c>
      <c r="CJ40" s="206">
        <f t="shared" ref="CJ40:CJ75" si="172">CI40*9.5%</f>
        <v>129725.24265000001</v>
      </c>
      <c r="CK40" s="150">
        <f t="shared" si="73"/>
        <v>1396936.03</v>
      </c>
      <c r="CL40" s="206">
        <f t="shared" ref="CL40:CL75" si="173">CK40*9.5%</f>
        <v>132708.92285</v>
      </c>
      <c r="CM40" s="150">
        <f t="shared" si="74"/>
        <v>1429065.56</v>
      </c>
      <c r="CN40" s="150">
        <f t="shared" si="75"/>
        <v>1461934.07</v>
      </c>
      <c r="CO40" s="157"/>
      <c r="CP40" s="148"/>
      <c r="CQ40" s="148"/>
      <c r="CR40" s="148"/>
      <c r="CS40" s="148"/>
      <c r="CT40" s="148"/>
      <c r="CU40" s="151">
        <v>16000</v>
      </c>
      <c r="CV40" s="150">
        <f t="shared" si="81"/>
        <v>16800</v>
      </c>
      <c r="CW40" s="150">
        <f t="shared" ref="CW40:DG40" si="174">CV40+ROUND(CV40*CW$6,2)</f>
        <v>19303.2</v>
      </c>
      <c r="CX40" s="150">
        <f t="shared" si="174"/>
        <v>19380.41</v>
      </c>
      <c r="CY40" s="150">
        <f t="shared" si="174"/>
        <v>19826.16</v>
      </c>
      <c r="CZ40" s="155">
        <f t="shared" si="174"/>
        <v>20321.810000000001</v>
      </c>
      <c r="DA40" s="155">
        <f t="shared" si="174"/>
        <v>20829.86</v>
      </c>
      <c r="DB40" s="155">
        <f t="shared" si="174"/>
        <v>21350.61</v>
      </c>
      <c r="DC40" s="155">
        <f t="shared" si="174"/>
        <v>21884.38</v>
      </c>
      <c r="DD40" s="155">
        <f t="shared" si="174"/>
        <v>22431.49</v>
      </c>
      <c r="DE40" s="155">
        <f t="shared" si="174"/>
        <v>22992.280000000002</v>
      </c>
      <c r="DF40" s="155">
        <f t="shared" si="174"/>
        <v>23567.090000000004</v>
      </c>
      <c r="DG40" s="155">
        <f t="shared" si="174"/>
        <v>24156.270000000004</v>
      </c>
      <c r="DH40" s="236">
        <f>$DM$28*'1.piel'!I39</f>
        <v>512209.85</v>
      </c>
      <c r="DI40" s="243">
        <f t="shared" si="113"/>
        <v>1246804.48</v>
      </c>
      <c r="DJ40" s="248">
        <f t="shared" ref="DJ40:DJ75" si="175">SUM(DK40:DL40)</f>
        <v>1225.7566878172588</v>
      </c>
      <c r="DK40" s="382">
        <f>(CA40-DH40)/'1.piel'!M39</f>
        <v>932.22668781725883</v>
      </c>
      <c r="DL40">
        <f>DH40/'1.piel'!G39</f>
        <v>293.52999999999997</v>
      </c>
    </row>
    <row r="41" spans="2:116" x14ac:dyDescent="0.25">
      <c r="B41" s="52">
        <v>84</v>
      </c>
      <c r="C41" s="53" t="s">
        <v>122</v>
      </c>
      <c r="D41" s="36" t="s">
        <v>250</v>
      </c>
      <c r="E41" s="110">
        <v>1534</v>
      </c>
      <c r="F41" s="178">
        <v>1494</v>
      </c>
      <c r="G41" s="63">
        <v>1320</v>
      </c>
      <c r="H41" s="99">
        <f t="shared" si="114"/>
        <v>2814</v>
      </c>
      <c r="I41" s="94">
        <f t="shared" si="115"/>
        <v>1</v>
      </c>
      <c r="J41" s="89">
        <v>1494</v>
      </c>
      <c r="K41" s="98">
        <f t="shared" si="116"/>
        <v>0</v>
      </c>
      <c r="L41" s="99">
        <f t="shared" si="117"/>
        <v>0</v>
      </c>
      <c r="M41" s="174">
        <f t="shared" si="118"/>
        <v>0</v>
      </c>
      <c r="N41" s="64">
        <f t="shared" si="119"/>
        <v>0</v>
      </c>
      <c r="O41" s="64">
        <f t="shared" si="120"/>
        <v>0</v>
      </c>
      <c r="P41" s="64">
        <f t="shared" si="121"/>
        <v>0</v>
      </c>
      <c r="Q41" s="64">
        <f t="shared" si="122"/>
        <v>0</v>
      </c>
      <c r="R41" s="64">
        <f t="shared" si="123"/>
        <v>0</v>
      </c>
      <c r="S41" s="64">
        <f t="shared" si="124"/>
        <v>0</v>
      </c>
      <c r="T41" s="64">
        <f t="shared" si="125"/>
        <v>0</v>
      </c>
      <c r="U41" s="64">
        <f t="shared" si="126"/>
        <v>0</v>
      </c>
      <c r="V41" s="64">
        <f t="shared" si="127"/>
        <v>0</v>
      </c>
      <c r="W41" s="64">
        <f t="shared" si="128"/>
        <v>0</v>
      </c>
      <c r="X41" s="64">
        <f t="shared" si="129"/>
        <v>0</v>
      </c>
      <c r="Y41" s="64">
        <f t="shared" si="130"/>
        <v>0</v>
      </c>
      <c r="Z41" s="64">
        <f t="shared" si="131"/>
        <v>0</v>
      </c>
      <c r="AA41" s="64">
        <f t="shared" si="132"/>
        <v>0</v>
      </c>
      <c r="AB41" s="64">
        <f t="shared" si="133"/>
        <v>0</v>
      </c>
      <c r="AC41" s="64">
        <f t="shared" si="134"/>
        <v>0</v>
      </c>
      <c r="AD41" s="64">
        <f t="shared" si="135"/>
        <v>0</v>
      </c>
      <c r="AE41" s="64">
        <f t="shared" si="136"/>
        <v>0</v>
      </c>
      <c r="AF41" s="64">
        <f t="shared" si="137"/>
        <v>0</v>
      </c>
      <c r="AG41" s="65">
        <f t="shared" si="138"/>
        <v>61.626600000000003</v>
      </c>
      <c r="AH41" s="65">
        <f t="shared" si="139"/>
        <v>138.65985000000001</v>
      </c>
      <c r="AI41" s="65">
        <f t="shared" si="140"/>
        <v>61.626600000000003</v>
      </c>
      <c r="AJ41" s="65">
        <f t="shared" si="141"/>
        <v>12.32532</v>
      </c>
      <c r="AK41" s="65">
        <f t="shared" si="142"/>
        <v>2.0542199999999999</v>
      </c>
      <c r="AL41" s="66">
        <v>0.9</v>
      </c>
      <c r="AM41" s="66">
        <v>0.75</v>
      </c>
      <c r="AN41" s="66">
        <v>0.9</v>
      </c>
      <c r="AO41" s="66">
        <v>0.1</v>
      </c>
      <c r="AP41" s="66">
        <v>0.1</v>
      </c>
      <c r="AQ41" s="65">
        <f t="shared" si="143"/>
        <v>55.463940000000001</v>
      </c>
      <c r="AR41" s="65">
        <f t="shared" si="144"/>
        <v>103.9948875</v>
      </c>
      <c r="AS41" s="65">
        <f t="shared" si="145"/>
        <v>55.463940000000001</v>
      </c>
      <c r="AT41" s="65">
        <f t="shared" si="146"/>
        <v>1.232532</v>
      </c>
      <c r="AU41" s="65">
        <f t="shared" si="147"/>
        <v>0.20542199999999999</v>
      </c>
      <c r="AV41" s="65">
        <f t="shared" si="148"/>
        <v>6.1626600000000025</v>
      </c>
      <c r="AW41" s="65">
        <f t="shared" si="149"/>
        <v>34.664962500000001</v>
      </c>
      <c r="AX41" s="65">
        <f t="shared" si="150"/>
        <v>6.1626600000000025</v>
      </c>
      <c r="AY41" s="65">
        <f t="shared" si="151"/>
        <v>11.092787999999999</v>
      </c>
      <c r="AZ41" s="65">
        <f t="shared" si="152"/>
        <v>1.8487979999999999</v>
      </c>
      <c r="BA41" s="67">
        <f t="shared" si="153"/>
        <v>61.626600000000003</v>
      </c>
      <c r="BB41" s="67">
        <f t="shared" si="154"/>
        <v>138.65985000000001</v>
      </c>
      <c r="BC41" s="67">
        <f t="shared" si="155"/>
        <v>61.626600000000003</v>
      </c>
      <c r="BD41" s="68">
        <f t="shared" si="156"/>
        <v>12.32532</v>
      </c>
      <c r="BE41" s="68">
        <f t="shared" si="157"/>
        <v>2.0542199999999999</v>
      </c>
      <c r="BF41" s="67">
        <f t="shared" si="158"/>
        <v>6.1626600000000025</v>
      </c>
      <c r="BG41" s="67">
        <f t="shared" si="159"/>
        <v>34.664962500000001</v>
      </c>
      <c r="BH41" s="67">
        <f t="shared" si="160"/>
        <v>6.1626600000000025</v>
      </c>
      <c r="BI41" s="68">
        <f t="shared" si="161"/>
        <v>11.092787999999999</v>
      </c>
      <c r="BJ41" s="68">
        <f t="shared" si="162"/>
        <v>1.8487979999999999</v>
      </c>
      <c r="BK41" s="67">
        <f t="shared" si="163"/>
        <v>55.463940000000001</v>
      </c>
      <c r="BL41" s="67">
        <f t="shared" si="164"/>
        <v>103.9948875</v>
      </c>
      <c r="BM41" s="67">
        <f t="shared" si="165"/>
        <v>55.463940000000001</v>
      </c>
      <c r="BN41" s="68">
        <f t="shared" si="166"/>
        <v>1.232532</v>
      </c>
      <c r="BO41" s="187">
        <f t="shared" si="167"/>
        <v>0.20542199999999999</v>
      </c>
      <c r="BP41" s="157"/>
      <c r="BQ41" s="148"/>
      <c r="BR41" s="148"/>
      <c r="BS41" s="148"/>
      <c r="BT41" s="148"/>
      <c r="BU41" s="148"/>
      <c r="BV41" s="148"/>
      <c r="BW41" s="151">
        <v>0</v>
      </c>
      <c r="BX41" s="150">
        <f t="shared" ref="BX41:BX60" si="176">BW41+ROUND(BW41*$BX$6,2)</f>
        <v>0</v>
      </c>
      <c r="BY41" s="150">
        <f t="shared" ref="BY41:BY60" si="177">BX41+ROUND(BX41*$BY$6,2)</f>
        <v>0</v>
      </c>
      <c r="BZ41" s="155">
        <f t="shared" si="99"/>
        <v>0</v>
      </c>
      <c r="CA41" s="179">
        <f t="shared" si="111"/>
        <v>0</v>
      </c>
      <c r="CB41" s="203">
        <f t="shared" si="168"/>
        <v>0</v>
      </c>
      <c r="CC41" s="198">
        <f t="shared" ref="CC41:CC60" si="178">CA41+ROUND(CA41*$BZ$6,2)</f>
        <v>0</v>
      </c>
      <c r="CD41" s="206">
        <f t="shared" si="169"/>
        <v>0</v>
      </c>
      <c r="CE41" s="150">
        <f t="shared" ref="CE41:CE60" si="179">CC41+ROUND(CC41*$BZ$6,2)</f>
        <v>0</v>
      </c>
      <c r="CF41" s="206">
        <f t="shared" si="170"/>
        <v>0</v>
      </c>
      <c r="CG41" s="150">
        <f t="shared" ref="CG41:CG60" si="180">CE41+ROUND(CE41*$BZ$6,2)</f>
        <v>0</v>
      </c>
      <c r="CH41" s="206">
        <f t="shared" si="171"/>
        <v>0</v>
      </c>
      <c r="CI41" s="150">
        <f t="shared" ref="CI41:CI60" si="181">CG41+ROUND(CG41*$BZ$6,2)</f>
        <v>0</v>
      </c>
      <c r="CJ41" s="206">
        <f t="shared" si="172"/>
        <v>0</v>
      </c>
      <c r="CK41" s="150">
        <f t="shared" ref="CK41:CK60" si="182">CI41+ROUND(CI41*$BZ$6,2)</f>
        <v>0</v>
      </c>
      <c r="CL41" s="206">
        <f t="shared" si="173"/>
        <v>0</v>
      </c>
      <c r="CM41" s="150">
        <f t="shared" ref="CM41:CM60" si="183">CK41+ROUND(CK41*$BZ$6,2)</f>
        <v>0</v>
      </c>
      <c r="CN41" s="150">
        <f t="shared" ref="CN41:CN60" si="184">CM41+ROUND(CM41*$BZ$6,2)</f>
        <v>0</v>
      </c>
      <c r="CO41" s="157"/>
      <c r="CP41" s="148"/>
      <c r="CQ41" s="148"/>
      <c r="CR41" s="148"/>
      <c r="CS41" s="148"/>
      <c r="CT41" s="148"/>
      <c r="CU41" s="148"/>
      <c r="CV41" s="151">
        <v>32000</v>
      </c>
      <c r="CW41" s="150">
        <f t="shared" ref="CW41:DG41" si="185">CV41+ROUND(CV41*CW$6,2)</f>
        <v>36768</v>
      </c>
      <c r="CX41" s="150">
        <f t="shared" si="185"/>
        <v>36915.07</v>
      </c>
      <c r="CY41" s="150">
        <f t="shared" si="185"/>
        <v>37764.120000000003</v>
      </c>
      <c r="CZ41" s="155">
        <f t="shared" si="185"/>
        <v>38708.22</v>
      </c>
      <c r="DA41" s="155">
        <f t="shared" si="185"/>
        <v>39675.93</v>
      </c>
      <c r="DB41" s="155">
        <f t="shared" si="185"/>
        <v>40667.83</v>
      </c>
      <c r="DC41" s="155">
        <f t="shared" si="185"/>
        <v>41684.53</v>
      </c>
      <c r="DD41" s="155">
        <f t="shared" si="185"/>
        <v>42726.64</v>
      </c>
      <c r="DE41" s="155">
        <f t="shared" si="185"/>
        <v>43794.81</v>
      </c>
      <c r="DF41" s="155">
        <f t="shared" si="185"/>
        <v>44889.68</v>
      </c>
      <c r="DG41" s="155">
        <f t="shared" si="185"/>
        <v>46011.92</v>
      </c>
      <c r="DH41" s="236"/>
      <c r="DI41" s="243">
        <f t="shared" si="113"/>
        <v>0</v>
      </c>
      <c r="DJ41" s="248">
        <f t="shared" si="175"/>
        <v>0</v>
      </c>
      <c r="DK41" s="382">
        <v>0</v>
      </c>
      <c r="DL41">
        <f>DH41/'1.piel'!G40</f>
        <v>0</v>
      </c>
    </row>
    <row r="42" spans="2:116" x14ac:dyDescent="0.25">
      <c r="B42" s="52">
        <v>85</v>
      </c>
      <c r="C42" s="53" t="s">
        <v>123</v>
      </c>
      <c r="D42" s="36" t="s">
        <v>250</v>
      </c>
      <c r="E42" s="110">
        <v>1443</v>
      </c>
      <c r="F42" s="178">
        <v>1430</v>
      </c>
      <c r="G42" s="36">
        <v>0</v>
      </c>
      <c r="H42" s="99">
        <f t="shared" si="114"/>
        <v>1430</v>
      </c>
      <c r="I42" s="94">
        <f t="shared" si="115"/>
        <v>0.45944055944055945</v>
      </c>
      <c r="J42" s="89">
        <v>657</v>
      </c>
      <c r="K42" s="98">
        <f t="shared" si="116"/>
        <v>0.54055944055944061</v>
      </c>
      <c r="L42" s="99">
        <f t="shared" si="117"/>
        <v>773</v>
      </c>
      <c r="M42" s="174">
        <f t="shared" si="118"/>
        <v>16.928699999999999</v>
      </c>
      <c r="N42" s="64">
        <f t="shared" si="119"/>
        <v>38.089575000000004</v>
      </c>
      <c r="O42" s="64">
        <f t="shared" si="120"/>
        <v>16.928699999999999</v>
      </c>
      <c r="P42" s="64">
        <f t="shared" si="121"/>
        <v>3.3857400000000002</v>
      </c>
      <c r="Q42" s="64">
        <f t="shared" si="122"/>
        <v>0.56428999999999996</v>
      </c>
      <c r="R42" s="64">
        <f t="shared" si="123"/>
        <v>3.6678850000000001</v>
      </c>
      <c r="S42" s="64">
        <f t="shared" si="124"/>
        <v>6.2071899999999998</v>
      </c>
      <c r="T42" s="64">
        <f t="shared" si="125"/>
        <v>4.2321749999999998</v>
      </c>
      <c r="U42" s="64">
        <f t="shared" si="126"/>
        <v>0.84643500000000005</v>
      </c>
      <c r="V42" s="64">
        <f t="shared" si="127"/>
        <v>0.14107249999999999</v>
      </c>
      <c r="W42" s="64">
        <f t="shared" si="128"/>
        <v>5.3607550000000002</v>
      </c>
      <c r="X42" s="64">
        <f t="shared" si="129"/>
        <v>9.0286399999999993</v>
      </c>
      <c r="Y42" s="64">
        <f t="shared" si="130"/>
        <v>4.2321749999999998</v>
      </c>
      <c r="Z42" s="64">
        <f t="shared" si="131"/>
        <v>0</v>
      </c>
      <c r="AA42" s="64">
        <f t="shared" si="132"/>
        <v>0</v>
      </c>
      <c r="AB42" s="64">
        <f t="shared" si="133"/>
        <v>7.9000599999999999</v>
      </c>
      <c r="AC42" s="64">
        <f t="shared" si="134"/>
        <v>22.853745</v>
      </c>
      <c r="AD42" s="64">
        <f t="shared" si="135"/>
        <v>8.4643499999999996</v>
      </c>
      <c r="AE42" s="64">
        <f t="shared" si="136"/>
        <v>2.5393050000000001</v>
      </c>
      <c r="AF42" s="64">
        <f t="shared" si="137"/>
        <v>0.42321750000000002</v>
      </c>
      <c r="AG42" s="65">
        <f t="shared" si="138"/>
        <v>14.388299999999999</v>
      </c>
      <c r="AH42" s="65">
        <f t="shared" si="139"/>
        <v>32.373674999999999</v>
      </c>
      <c r="AI42" s="65">
        <f t="shared" si="140"/>
        <v>14.388299999999999</v>
      </c>
      <c r="AJ42" s="65">
        <f t="shared" si="141"/>
        <v>2.8776600000000001</v>
      </c>
      <c r="AK42" s="65">
        <f t="shared" si="142"/>
        <v>0.47960999999999998</v>
      </c>
      <c r="AL42" s="66">
        <v>0.9</v>
      </c>
      <c r="AM42" s="66">
        <v>0.75</v>
      </c>
      <c r="AN42" s="66">
        <v>0.9</v>
      </c>
      <c r="AO42" s="66">
        <v>0.1</v>
      </c>
      <c r="AP42" s="66">
        <v>0.1</v>
      </c>
      <c r="AQ42" s="65">
        <f t="shared" si="143"/>
        <v>16.250566500000001</v>
      </c>
      <c r="AR42" s="65">
        <f t="shared" si="144"/>
        <v>28.935648749999999</v>
      </c>
      <c r="AS42" s="65">
        <f t="shared" si="145"/>
        <v>16.7584275</v>
      </c>
      <c r="AT42" s="65">
        <f t="shared" si="146"/>
        <v>0.37240950000000006</v>
      </c>
      <c r="AU42" s="65">
        <f t="shared" si="147"/>
        <v>6.2068250000000005E-2</v>
      </c>
      <c r="AV42" s="65">
        <f t="shared" si="148"/>
        <v>1.8056184999999978</v>
      </c>
      <c r="AW42" s="65">
        <f t="shared" si="149"/>
        <v>9.6452162499999972</v>
      </c>
      <c r="AX42" s="65">
        <f t="shared" si="150"/>
        <v>1.8620474999999992</v>
      </c>
      <c r="AY42" s="65">
        <f t="shared" si="151"/>
        <v>3.3516855000000003</v>
      </c>
      <c r="AZ42" s="65">
        <f t="shared" si="152"/>
        <v>0.55861424999999998</v>
      </c>
      <c r="BA42" s="67">
        <f t="shared" si="153"/>
        <v>31.317</v>
      </c>
      <c r="BB42" s="67">
        <f t="shared" si="154"/>
        <v>70.463250000000002</v>
      </c>
      <c r="BC42" s="67">
        <f t="shared" si="155"/>
        <v>31.317</v>
      </c>
      <c r="BD42" s="68">
        <f t="shared" si="156"/>
        <v>6.2634000000000007</v>
      </c>
      <c r="BE42" s="68">
        <f t="shared" si="157"/>
        <v>1.0438999999999998</v>
      </c>
      <c r="BF42" s="67">
        <f t="shared" si="158"/>
        <v>9.7056784999999977</v>
      </c>
      <c r="BG42" s="67">
        <f t="shared" si="159"/>
        <v>32.498961249999994</v>
      </c>
      <c r="BH42" s="67">
        <f t="shared" si="160"/>
        <v>10.326397499999999</v>
      </c>
      <c r="BI42" s="68">
        <f t="shared" si="161"/>
        <v>5.8909905000000009</v>
      </c>
      <c r="BJ42" s="68">
        <f t="shared" si="162"/>
        <v>0.98183175</v>
      </c>
      <c r="BK42" s="67">
        <f t="shared" si="163"/>
        <v>21.611321500000003</v>
      </c>
      <c r="BL42" s="67">
        <f t="shared" si="164"/>
        <v>37.964288749999994</v>
      </c>
      <c r="BM42" s="67">
        <f t="shared" si="165"/>
        <v>20.990602500000001</v>
      </c>
      <c r="BN42" s="68">
        <f t="shared" si="166"/>
        <v>0.37240950000000006</v>
      </c>
      <c r="BO42" s="187">
        <f t="shared" si="167"/>
        <v>6.2068250000000005E-2</v>
      </c>
      <c r="BP42" s="157"/>
      <c r="BQ42" s="148"/>
      <c r="BR42" s="148"/>
      <c r="BS42" s="148"/>
      <c r="BT42" s="148"/>
      <c r="BU42" s="148"/>
      <c r="BV42" s="151">
        <f>683949+165000</f>
        <v>848949</v>
      </c>
      <c r="BW42" s="150">
        <f t="shared" ref="BW42:BW57" si="186">BV42+ROUND(BV42*$BW$6,2)</f>
        <v>891396.45</v>
      </c>
      <c r="BX42" s="150">
        <f t="shared" si="176"/>
        <v>1024214.52</v>
      </c>
      <c r="BY42" s="150">
        <f t="shared" si="177"/>
        <v>1028311.38</v>
      </c>
      <c r="BZ42" s="155">
        <f t="shared" si="99"/>
        <v>1051962.54</v>
      </c>
      <c r="CA42" s="415">
        <f t="shared" si="111"/>
        <v>1495905.5799999998</v>
      </c>
      <c r="CB42" s="203">
        <f t="shared" si="168"/>
        <v>142111.03009999997</v>
      </c>
      <c r="CC42" s="198">
        <f t="shared" si="178"/>
        <v>1530311.41</v>
      </c>
      <c r="CD42" s="206">
        <f t="shared" si="169"/>
        <v>145379.58395</v>
      </c>
      <c r="CE42" s="150">
        <f t="shared" si="179"/>
        <v>1565508.5699999998</v>
      </c>
      <c r="CF42" s="206">
        <f t="shared" si="170"/>
        <v>148723.31414999999</v>
      </c>
      <c r="CG42" s="150">
        <f t="shared" si="180"/>
        <v>1601515.2699999998</v>
      </c>
      <c r="CH42" s="206">
        <f t="shared" si="171"/>
        <v>152143.95064999998</v>
      </c>
      <c r="CI42" s="150">
        <f t="shared" si="181"/>
        <v>1638350.1199999999</v>
      </c>
      <c r="CJ42" s="206">
        <f t="shared" si="172"/>
        <v>155643.26139999999</v>
      </c>
      <c r="CK42" s="150">
        <f t="shared" si="182"/>
        <v>1676032.17</v>
      </c>
      <c r="CL42" s="206">
        <f t="shared" si="173"/>
        <v>159223.05614999999</v>
      </c>
      <c r="CM42" s="150">
        <f t="shared" si="183"/>
        <v>1714580.91</v>
      </c>
      <c r="CN42" s="150">
        <f t="shared" si="184"/>
        <v>1754016.27</v>
      </c>
      <c r="CO42" s="157"/>
      <c r="CP42" s="148"/>
      <c r="CQ42" s="148"/>
      <c r="CR42" s="148"/>
      <c r="CS42" s="148"/>
      <c r="CT42" s="148"/>
      <c r="CU42" s="151">
        <v>144000</v>
      </c>
      <c r="CV42" s="150">
        <f t="shared" ref="CV42:CV86" si="187">CU42+ROUND(CU42*CV$6,2)</f>
        <v>151200</v>
      </c>
      <c r="CW42" s="150">
        <f t="shared" ref="CW42:DG42" si="188">CV42+ROUND(CV42*CW$6,2)</f>
        <v>173728.8</v>
      </c>
      <c r="CX42" s="150">
        <f t="shared" si="188"/>
        <v>174423.72</v>
      </c>
      <c r="CY42" s="150">
        <f t="shared" si="188"/>
        <v>178435.47</v>
      </c>
      <c r="CZ42" s="155">
        <f t="shared" si="188"/>
        <v>182896.36000000002</v>
      </c>
      <c r="DA42" s="155">
        <f t="shared" si="188"/>
        <v>187468.77000000002</v>
      </c>
      <c r="DB42" s="155">
        <f t="shared" si="188"/>
        <v>192155.49000000002</v>
      </c>
      <c r="DC42" s="155">
        <f t="shared" si="188"/>
        <v>196959.38000000003</v>
      </c>
      <c r="DD42" s="155">
        <f t="shared" si="188"/>
        <v>201883.36000000004</v>
      </c>
      <c r="DE42" s="155">
        <f t="shared" si="188"/>
        <v>206930.44000000003</v>
      </c>
      <c r="DF42" s="155">
        <f t="shared" si="188"/>
        <v>212103.70000000004</v>
      </c>
      <c r="DG42" s="155">
        <f t="shared" si="188"/>
        <v>217406.29000000004</v>
      </c>
      <c r="DH42" s="236">
        <f>$DM$28*'1.piel'!I41</f>
        <v>419747.89999999997</v>
      </c>
      <c r="DI42" s="243">
        <f t="shared" si="113"/>
        <v>1495905.5799999998</v>
      </c>
      <c r="DJ42" s="248">
        <f t="shared" si="175"/>
        <v>1685.7132858990942</v>
      </c>
      <c r="DK42" s="382">
        <f>(CA42-DH42)/'1.piel'!M41</f>
        <v>1392.1832858990942</v>
      </c>
      <c r="DL42">
        <f>DH42/'1.piel'!G41</f>
        <v>293.52999999999997</v>
      </c>
    </row>
    <row r="43" spans="2:116" s="3" customFormat="1" ht="15.75" x14ac:dyDescent="0.25">
      <c r="B43" s="515" t="s">
        <v>367</v>
      </c>
      <c r="C43" s="516"/>
      <c r="D43" s="516"/>
      <c r="E43" s="516"/>
      <c r="F43" s="516"/>
      <c r="G43" s="516"/>
      <c r="H43" s="516"/>
      <c r="I43" s="516"/>
      <c r="J43" s="516"/>
      <c r="K43" s="516"/>
      <c r="L43" s="517"/>
      <c r="M43" s="372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373"/>
      <c r="AM43" s="373"/>
      <c r="AN43" s="373"/>
      <c r="AO43" s="373"/>
      <c r="AP43" s="373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374"/>
      <c r="BB43" s="374"/>
      <c r="BC43" s="374"/>
      <c r="BD43" s="375"/>
      <c r="BE43" s="375"/>
      <c r="BF43" s="374"/>
      <c r="BG43" s="374"/>
      <c r="BH43" s="374"/>
      <c r="BI43" s="375"/>
      <c r="BJ43" s="375"/>
      <c r="BK43" s="374"/>
      <c r="BL43" s="374"/>
      <c r="BM43" s="374"/>
      <c r="BN43" s="375"/>
      <c r="BO43" s="376"/>
      <c r="BP43" s="377"/>
      <c r="BQ43" s="375"/>
      <c r="BR43" s="375"/>
      <c r="BS43" s="375"/>
      <c r="BT43" s="375"/>
      <c r="BU43" s="375"/>
      <c r="BV43" s="69"/>
      <c r="BW43" s="69"/>
      <c r="BX43" s="69"/>
      <c r="BY43" s="69"/>
      <c r="BZ43" s="104"/>
      <c r="CA43" s="383">
        <f>SUM(CA8:CA42)</f>
        <v>36741417.349999994</v>
      </c>
      <c r="CB43" s="383">
        <f t="shared" ref="CB43:CF43" si="189">SUM(CB8:CB42)</f>
        <v>3490434.6482500006</v>
      </c>
      <c r="CC43" s="383">
        <f t="shared" si="189"/>
        <v>37586469.929999992</v>
      </c>
      <c r="CD43" s="383">
        <f t="shared" si="189"/>
        <v>3570714.6433500005</v>
      </c>
      <c r="CE43" s="383">
        <f t="shared" si="189"/>
        <v>38450958.760000005</v>
      </c>
      <c r="CF43" s="383">
        <f t="shared" si="189"/>
        <v>3652841.0821999996</v>
      </c>
      <c r="CG43" s="383">
        <f t="shared" ref="CG43" si="190">SUM(CG8:CG42)</f>
        <v>39335330.809999987</v>
      </c>
      <c r="CH43" s="383">
        <f t="shared" ref="CH43" si="191">SUM(CH8:CH42)</f>
        <v>3736856.4269500002</v>
      </c>
      <c r="CI43" s="383">
        <f t="shared" ref="CI43" si="192">SUM(CI8:CI42)</f>
        <v>40240043.419999994</v>
      </c>
      <c r="CJ43" s="383">
        <f t="shared" ref="CJ43:CK43" si="193">SUM(CJ8:CJ42)</f>
        <v>3822804.1249000002</v>
      </c>
      <c r="CK43" s="383">
        <f t="shared" si="193"/>
        <v>41165564.419999994</v>
      </c>
      <c r="CL43" s="383">
        <f t="shared" ref="CL43" si="194">SUM(CL8:CL42)</f>
        <v>3910728.6199000003</v>
      </c>
      <c r="CM43" s="383">
        <f t="shared" ref="CM43" si="195">SUM(CM8:CM42)</f>
        <v>42112372.419999987</v>
      </c>
      <c r="CN43" s="383">
        <f t="shared" ref="CN43" si="196">SUM(CN8:CN42)</f>
        <v>43080957.010000005</v>
      </c>
      <c r="CO43" s="377"/>
      <c r="CP43" s="375"/>
      <c r="CQ43" s="375"/>
      <c r="CR43" s="375"/>
      <c r="CS43" s="375"/>
      <c r="CT43" s="375"/>
      <c r="CU43" s="69"/>
      <c r="CV43" s="69"/>
      <c r="CW43" s="69"/>
      <c r="CX43" s="69"/>
      <c r="CY43" s="69"/>
      <c r="CZ43" s="384">
        <f>SUM(CZ8:CZ42)</f>
        <v>16478509.59</v>
      </c>
      <c r="DA43" s="384">
        <f t="shared" ref="DA43:DG43" si="197">SUM(DA8:DA42)</f>
        <v>16890472.349999998</v>
      </c>
      <c r="DB43" s="384">
        <f t="shared" si="197"/>
        <v>17312734.159999996</v>
      </c>
      <c r="DC43" s="384">
        <f t="shared" si="197"/>
        <v>17745552.529999997</v>
      </c>
      <c r="DD43" s="384">
        <f t="shared" si="197"/>
        <v>18189191.349999998</v>
      </c>
      <c r="DE43" s="384">
        <f t="shared" si="197"/>
        <v>18643921.140000004</v>
      </c>
      <c r="DF43" s="384">
        <f t="shared" si="197"/>
        <v>19110019.16</v>
      </c>
      <c r="DG43" s="384">
        <f t="shared" si="197"/>
        <v>19587769.620000001</v>
      </c>
      <c r="DH43" s="237"/>
      <c r="DI43" s="379"/>
      <c r="DJ43" s="380"/>
      <c r="DK43" s="382"/>
    </row>
    <row r="44" spans="2:116" s="3" customFormat="1" ht="21.75" thickBot="1" x14ac:dyDescent="0.4">
      <c r="B44" s="512" t="s">
        <v>364</v>
      </c>
      <c r="C44" s="513"/>
      <c r="D44" s="513"/>
      <c r="E44" s="513"/>
      <c r="F44" s="513"/>
      <c r="G44" s="513"/>
      <c r="H44" s="513"/>
      <c r="I44" s="513"/>
      <c r="J44" s="513"/>
      <c r="K44" s="513"/>
      <c r="L44" s="514"/>
      <c r="M44" s="372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373"/>
      <c r="AM44" s="373"/>
      <c r="AN44" s="373"/>
      <c r="AO44" s="373"/>
      <c r="AP44" s="373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374"/>
      <c r="BB44" s="374"/>
      <c r="BC44" s="374"/>
      <c r="BD44" s="375"/>
      <c r="BE44" s="375"/>
      <c r="BF44" s="374"/>
      <c r="BG44" s="374"/>
      <c r="BH44" s="374"/>
      <c r="BI44" s="375"/>
      <c r="BJ44" s="375"/>
      <c r="BK44" s="374"/>
      <c r="BL44" s="374"/>
      <c r="BM44" s="374"/>
      <c r="BN44" s="375"/>
      <c r="BO44" s="376"/>
      <c r="BP44" s="377"/>
      <c r="BQ44" s="375"/>
      <c r="BR44" s="375"/>
      <c r="BS44" s="375"/>
      <c r="BT44" s="375"/>
      <c r="BU44" s="375"/>
      <c r="BV44" s="69"/>
      <c r="BW44" s="69"/>
      <c r="BX44" s="69"/>
      <c r="BY44" s="69"/>
      <c r="BZ44" s="104"/>
      <c r="CA44" s="179"/>
      <c r="CB44" s="335"/>
      <c r="CC44" s="119"/>
      <c r="CD44" s="378"/>
      <c r="CE44" s="69"/>
      <c r="CF44" s="378"/>
      <c r="CG44" s="69"/>
      <c r="CH44" s="378"/>
      <c r="CI44" s="69"/>
      <c r="CJ44" s="378"/>
      <c r="CK44" s="69"/>
      <c r="CL44" s="378"/>
      <c r="CM44" s="69"/>
      <c r="CN44" s="69"/>
      <c r="CO44" s="377"/>
      <c r="CP44" s="375"/>
      <c r="CQ44" s="375"/>
      <c r="CR44" s="375"/>
      <c r="CS44" s="375"/>
      <c r="CT44" s="375"/>
      <c r="CU44" s="69"/>
      <c r="CV44" s="69"/>
      <c r="CW44" s="69"/>
      <c r="CX44" s="69"/>
      <c r="CY44" s="69"/>
      <c r="CZ44" s="104"/>
      <c r="DA44" s="104"/>
      <c r="DB44" s="104"/>
      <c r="DC44" s="104"/>
      <c r="DD44" s="104"/>
      <c r="DE44" s="104"/>
      <c r="DF44" s="104"/>
      <c r="DG44" s="104"/>
      <c r="DH44" s="237"/>
      <c r="DI44" s="379"/>
      <c r="DJ44" s="380"/>
      <c r="DK44" s="382"/>
    </row>
    <row r="45" spans="2:116" x14ac:dyDescent="0.25">
      <c r="B45" s="52">
        <v>8</v>
      </c>
      <c r="C45" s="53" t="s">
        <v>51</v>
      </c>
      <c r="D45" s="36" t="s">
        <v>265</v>
      </c>
      <c r="E45" s="110">
        <v>26674</v>
      </c>
      <c r="F45" s="178">
        <v>30852</v>
      </c>
      <c r="G45" s="63">
        <v>42678</v>
      </c>
      <c r="H45" s="99">
        <f t="shared" si="114"/>
        <v>73530</v>
      </c>
      <c r="I45" s="94">
        <f t="shared" si="115"/>
        <v>0.98745624270711785</v>
      </c>
      <c r="J45" s="89">
        <v>30465</v>
      </c>
      <c r="K45" s="98">
        <f t="shared" si="116"/>
        <v>1.2543757292882146E-2</v>
      </c>
      <c r="L45" s="99">
        <f t="shared" si="117"/>
        <v>387</v>
      </c>
      <c r="M45" s="174">
        <f t="shared" si="118"/>
        <v>8.4753000000000007</v>
      </c>
      <c r="N45" s="64">
        <f t="shared" si="119"/>
        <v>19.069424999999999</v>
      </c>
      <c r="O45" s="64">
        <f t="shared" si="120"/>
        <v>8.4753000000000007</v>
      </c>
      <c r="P45" s="64">
        <f t="shared" si="121"/>
        <v>1.69506</v>
      </c>
      <c r="Q45" s="64">
        <f t="shared" si="122"/>
        <v>0.28250999999999998</v>
      </c>
      <c r="R45" s="64">
        <f t="shared" si="123"/>
        <v>1.8363149999999999</v>
      </c>
      <c r="S45" s="64">
        <f t="shared" si="124"/>
        <v>3.1076100000000002</v>
      </c>
      <c r="T45" s="64">
        <f t="shared" si="125"/>
        <v>2.1188250000000002</v>
      </c>
      <c r="U45" s="64">
        <f t="shared" si="126"/>
        <v>0.423765</v>
      </c>
      <c r="V45" s="64">
        <f t="shared" si="127"/>
        <v>7.0627499999999996E-2</v>
      </c>
      <c r="W45" s="64">
        <f t="shared" si="128"/>
        <v>2.6838449999999998</v>
      </c>
      <c r="X45" s="64">
        <f t="shared" si="129"/>
        <v>4.5201599999999997</v>
      </c>
      <c r="Y45" s="64">
        <f t="shared" si="130"/>
        <v>2.1188250000000002</v>
      </c>
      <c r="Z45" s="64">
        <f t="shared" si="131"/>
        <v>0</v>
      </c>
      <c r="AA45" s="64">
        <f t="shared" si="132"/>
        <v>0</v>
      </c>
      <c r="AB45" s="64">
        <f t="shared" si="133"/>
        <v>3.9551400000000001</v>
      </c>
      <c r="AC45" s="64">
        <f t="shared" si="134"/>
        <v>11.441655000000001</v>
      </c>
      <c r="AD45" s="64">
        <f t="shared" si="135"/>
        <v>4.2376500000000004</v>
      </c>
      <c r="AE45" s="64">
        <f t="shared" si="136"/>
        <v>1.2712950000000001</v>
      </c>
      <c r="AF45" s="64">
        <f t="shared" si="137"/>
        <v>0.2118825</v>
      </c>
      <c r="AG45" s="65">
        <f t="shared" si="138"/>
        <v>1601.8317</v>
      </c>
      <c r="AH45" s="65">
        <f t="shared" si="139"/>
        <v>3604.1213250000001</v>
      </c>
      <c r="AI45" s="65">
        <f t="shared" si="140"/>
        <v>1601.8317</v>
      </c>
      <c r="AJ45" s="65">
        <f t="shared" si="141"/>
        <v>320.36633999999998</v>
      </c>
      <c r="AK45" s="65">
        <f t="shared" si="142"/>
        <v>53.394390000000001</v>
      </c>
      <c r="AL45" s="66">
        <v>0.9</v>
      </c>
      <c r="AM45" s="66">
        <v>0.75</v>
      </c>
      <c r="AN45" s="66">
        <v>0.9</v>
      </c>
      <c r="AO45" s="66">
        <v>0.1</v>
      </c>
      <c r="AP45" s="66">
        <v>0.1</v>
      </c>
      <c r="AQ45" s="65">
        <f t="shared" si="143"/>
        <v>1443.3012134999999</v>
      </c>
      <c r="AR45" s="65">
        <f t="shared" si="144"/>
        <v>2705.4217012500003</v>
      </c>
      <c r="AS45" s="65">
        <f t="shared" si="145"/>
        <v>1443.5554725</v>
      </c>
      <c r="AT45" s="65">
        <f t="shared" si="146"/>
        <v>32.079010500000003</v>
      </c>
      <c r="AU45" s="65">
        <f t="shared" si="147"/>
        <v>5.3465017500000007</v>
      </c>
      <c r="AV45" s="65">
        <f t="shared" si="148"/>
        <v>160.36680150000007</v>
      </c>
      <c r="AW45" s="65">
        <f t="shared" si="149"/>
        <v>901.8072337499998</v>
      </c>
      <c r="AX45" s="65">
        <f t="shared" si="150"/>
        <v>160.39505250000002</v>
      </c>
      <c r="AY45" s="65">
        <f t="shared" si="151"/>
        <v>288.7110945</v>
      </c>
      <c r="AZ45" s="65">
        <f t="shared" si="152"/>
        <v>48.11851575</v>
      </c>
      <c r="BA45" s="67">
        <f t="shared" si="153"/>
        <v>1610.307</v>
      </c>
      <c r="BB45" s="67">
        <f t="shared" si="154"/>
        <v>3623.1907500000002</v>
      </c>
      <c r="BC45" s="67">
        <f t="shared" si="155"/>
        <v>1610.307</v>
      </c>
      <c r="BD45" s="68">
        <f t="shared" si="156"/>
        <v>322.06139999999999</v>
      </c>
      <c r="BE45" s="68">
        <f t="shared" si="157"/>
        <v>53.676900000000003</v>
      </c>
      <c r="BF45" s="67">
        <f t="shared" si="158"/>
        <v>164.32194150000007</v>
      </c>
      <c r="BG45" s="67">
        <f t="shared" si="159"/>
        <v>913.24888874999976</v>
      </c>
      <c r="BH45" s="67">
        <f t="shared" si="160"/>
        <v>164.63270250000002</v>
      </c>
      <c r="BI45" s="68">
        <f t="shared" si="161"/>
        <v>289.98238950000001</v>
      </c>
      <c r="BJ45" s="68">
        <f t="shared" si="162"/>
        <v>48.330398250000002</v>
      </c>
      <c r="BK45" s="67">
        <f t="shared" si="163"/>
        <v>1445.9850584999999</v>
      </c>
      <c r="BL45" s="67">
        <f t="shared" si="164"/>
        <v>2709.9418612500003</v>
      </c>
      <c r="BM45" s="67">
        <f t="shared" si="165"/>
        <v>1445.6742975</v>
      </c>
      <c r="BN45" s="68">
        <f t="shared" si="166"/>
        <v>32.079010500000003</v>
      </c>
      <c r="BO45" s="187">
        <f t="shared" si="167"/>
        <v>5.3465017500000007</v>
      </c>
      <c r="BP45" s="157"/>
      <c r="BQ45" s="148"/>
      <c r="BR45" s="148"/>
      <c r="BS45" s="148"/>
      <c r="BT45" s="148"/>
      <c r="BU45" s="148"/>
      <c r="BV45" s="151">
        <f>114000+99000+141300+157280+88000+120000+109000+106000+21000+1078000</f>
        <v>2033580</v>
      </c>
      <c r="BW45" s="150">
        <f t="shared" si="186"/>
        <v>2135259</v>
      </c>
      <c r="BX45" s="150">
        <f t="shared" si="176"/>
        <v>2453412.59</v>
      </c>
      <c r="BY45" s="150">
        <f t="shared" si="177"/>
        <v>2463226.2399999998</v>
      </c>
      <c r="BZ45" s="155">
        <f t="shared" si="99"/>
        <v>2519880.44</v>
      </c>
      <c r="CA45" s="179">
        <f t="shared" si="101"/>
        <v>2577837.69</v>
      </c>
      <c r="CB45" s="203">
        <f t="shared" si="168"/>
        <v>244894.58054999998</v>
      </c>
      <c r="CC45" s="198">
        <f t="shared" si="178"/>
        <v>2637127.96</v>
      </c>
      <c r="CD45" s="206">
        <f t="shared" si="169"/>
        <v>250527.1562</v>
      </c>
      <c r="CE45" s="150">
        <f t="shared" si="179"/>
        <v>2697781.9</v>
      </c>
      <c r="CF45" s="206">
        <f t="shared" si="170"/>
        <v>256289.28049999999</v>
      </c>
      <c r="CG45" s="150">
        <f t="shared" si="180"/>
        <v>2759830.88</v>
      </c>
      <c r="CH45" s="206">
        <f t="shared" si="171"/>
        <v>262183.93359999999</v>
      </c>
      <c r="CI45" s="150">
        <f t="shared" si="181"/>
        <v>2823306.9899999998</v>
      </c>
      <c r="CJ45" s="206">
        <f t="shared" si="172"/>
        <v>268214.16404999996</v>
      </c>
      <c r="CK45" s="150">
        <f t="shared" si="182"/>
        <v>2888243.05</v>
      </c>
      <c r="CL45" s="206">
        <f t="shared" si="173"/>
        <v>274383.08974999998</v>
      </c>
      <c r="CM45" s="150">
        <f t="shared" si="183"/>
        <v>2954672.6399999997</v>
      </c>
      <c r="CN45" s="150">
        <f t="shared" si="184"/>
        <v>3022630.11</v>
      </c>
      <c r="CO45" s="157"/>
      <c r="CP45" s="148"/>
      <c r="CQ45" s="148"/>
      <c r="CR45" s="148"/>
      <c r="CS45" s="148"/>
      <c r="CT45" s="148"/>
      <c r="CU45" s="151">
        <f>4446000+129800+1500000</f>
        <v>6075800</v>
      </c>
      <c r="CV45" s="150">
        <f t="shared" si="187"/>
        <v>6379590</v>
      </c>
      <c r="CW45" s="150">
        <f t="shared" ref="CW45:DG45" si="198">CV45+ROUND(CV45*CW$6,2)</f>
        <v>7330148.9100000001</v>
      </c>
      <c r="CX45" s="150">
        <f t="shared" si="198"/>
        <v>7359469.5099999998</v>
      </c>
      <c r="CY45" s="150">
        <f t="shared" si="198"/>
        <v>7528737.3099999996</v>
      </c>
      <c r="CZ45" s="155">
        <f t="shared" si="198"/>
        <v>7716955.7399999993</v>
      </c>
      <c r="DA45" s="155">
        <f t="shared" si="198"/>
        <v>7909879.629999999</v>
      </c>
      <c r="DB45" s="155">
        <f t="shared" si="198"/>
        <v>8107626.6199999992</v>
      </c>
      <c r="DC45" s="155">
        <f t="shared" si="198"/>
        <v>8310317.2899999991</v>
      </c>
      <c r="DD45" s="155">
        <f t="shared" si="198"/>
        <v>8518075.2199999988</v>
      </c>
      <c r="DE45" s="155">
        <f t="shared" si="198"/>
        <v>8731027.0999999996</v>
      </c>
      <c r="DF45" s="155">
        <f t="shared" si="198"/>
        <v>8949302.7799999993</v>
      </c>
      <c r="DG45" s="155">
        <f t="shared" si="198"/>
        <v>9173035.3499999996</v>
      </c>
      <c r="DH45" s="236">
        <v>0</v>
      </c>
      <c r="DI45" s="243">
        <f t="shared" ref="DI45:DI75" si="199">SUM(CA45,DH45)</f>
        <v>2577837.69</v>
      </c>
      <c r="DJ45" s="248">
        <f t="shared" si="175"/>
        <v>6661.079302325581</v>
      </c>
      <c r="DK45" s="382">
        <f>CA45/'1.piel'!M44</f>
        <v>6661.079302325581</v>
      </c>
      <c r="DL45">
        <f>DH45/'1.piel'!G44</f>
        <v>0</v>
      </c>
    </row>
    <row r="46" spans="2:116" x14ac:dyDescent="0.25">
      <c r="B46" s="52">
        <v>13</v>
      </c>
      <c r="C46" s="53" t="s">
        <v>56</v>
      </c>
      <c r="D46" s="36" t="s">
        <v>265</v>
      </c>
      <c r="E46" s="110">
        <v>16471</v>
      </c>
      <c r="F46" s="178">
        <v>17540</v>
      </c>
      <c r="G46" s="63">
        <v>10100</v>
      </c>
      <c r="H46" s="99">
        <f t="shared" si="114"/>
        <v>27640</v>
      </c>
      <c r="I46" s="94">
        <f t="shared" si="115"/>
        <v>0.97001140250855189</v>
      </c>
      <c r="J46" s="89">
        <v>17014</v>
      </c>
      <c r="K46" s="98">
        <f t="shared" si="116"/>
        <v>2.9988597491448117E-2</v>
      </c>
      <c r="L46" s="99">
        <f t="shared" si="117"/>
        <v>526</v>
      </c>
      <c r="M46" s="174">
        <f t="shared" si="118"/>
        <v>11.519399999999999</v>
      </c>
      <c r="N46" s="64">
        <f t="shared" si="119"/>
        <v>25.91865</v>
      </c>
      <c r="O46" s="64">
        <f t="shared" si="120"/>
        <v>11.519399999999999</v>
      </c>
      <c r="P46" s="64">
        <f t="shared" si="121"/>
        <v>2.3038799999999999</v>
      </c>
      <c r="Q46" s="64">
        <f t="shared" si="122"/>
        <v>0.38397999999999999</v>
      </c>
      <c r="R46" s="64">
        <f t="shared" si="123"/>
        <v>2.49587</v>
      </c>
      <c r="S46" s="64">
        <f t="shared" si="124"/>
        <v>4.2237799999999996</v>
      </c>
      <c r="T46" s="64">
        <f t="shared" si="125"/>
        <v>2.8798499999999998</v>
      </c>
      <c r="U46" s="64">
        <f t="shared" si="126"/>
        <v>0.57596999999999998</v>
      </c>
      <c r="V46" s="64">
        <f t="shared" si="127"/>
        <v>9.5994999999999997E-2</v>
      </c>
      <c r="W46" s="64">
        <f t="shared" si="128"/>
        <v>3.6478100000000002</v>
      </c>
      <c r="X46" s="64">
        <f t="shared" si="129"/>
        <v>6.1436799999999998</v>
      </c>
      <c r="Y46" s="64">
        <f t="shared" si="130"/>
        <v>2.8798499999999998</v>
      </c>
      <c r="Z46" s="64">
        <f t="shared" si="131"/>
        <v>0</v>
      </c>
      <c r="AA46" s="64">
        <f t="shared" si="132"/>
        <v>0</v>
      </c>
      <c r="AB46" s="64">
        <f t="shared" si="133"/>
        <v>5.3757200000000003</v>
      </c>
      <c r="AC46" s="64">
        <f t="shared" si="134"/>
        <v>15.55119</v>
      </c>
      <c r="AD46" s="64">
        <f t="shared" si="135"/>
        <v>5.7596999999999996</v>
      </c>
      <c r="AE46" s="64">
        <f t="shared" si="136"/>
        <v>1.7279100000000001</v>
      </c>
      <c r="AF46" s="64">
        <f t="shared" si="137"/>
        <v>0.28798499999999999</v>
      </c>
      <c r="AG46" s="65">
        <f t="shared" si="138"/>
        <v>593.79660000000001</v>
      </c>
      <c r="AH46" s="65">
        <f t="shared" si="139"/>
        <v>1336.0423499999999</v>
      </c>
      <c r="AI46" s="65">
        <f t="shared" si="140"/>
        <v>593.79660000000001</v>
      </c>
      <c r="AJ46" s="65">
        <f t="shared" si="141"/>
        <v>118.75932</v>
      </c>
      <c r="AK46" s="65">
        <f t="shared" si="142"/>
        <v>19.793220000000002</v>
      </c>
      <c r="AL46" s="66">
        <v>0.9</v>
      </c>
      <c r="AM46" s="66">
        <v>0.75</v>
      </c>
      <c r="AN46" s="66">
        <v>0.9</v>
      </c>
      <c r="AO46" s="66">
        <v>0.1</v>
      </c>
      <c r="AP46" s="66">
        <v>0.1</v>
      </c>
      <c r="AQ46" s="65">
        <f t="shared" si="143"/>
        <v>536.66322300000002</v>
      </c>
      <c r="AR46" s="65">
        <f t="shared" si="144"/>
        <v>1005.1995975</v>
      </c>
      <c r="AS46" s="65">
        <f t="shared" si="145"/>
        <v>537.00880500000005</v>
      </c>
      <c r="AT46" s="65">
        <f t="shared" si="146"/>
        <v>11.933529</v>
      </c>
      <c r="AU46" s="65">
        <f t="shared" si="147"/>
        <v>1.9889215</v>
      </c>
      <c r="AV46" s="65">
        <f t="shared" si="148"/>
        <v>59.629246999999964</v>
      </c>
      <c r="AW46" s="65">
        <f t="shared" si="149"/>
        <v>335.06653249999999</v>
      </c>
      <c r="AX46" s="65">
        <f t="shared" si="150"/>
        <v>59.667644999999993</v>
      </c>
      <c r="AY46" s="65">
        <f t="shared" si="151"/>
        <v>107.40176099999999</v>
      </c>
      <c r="AZ46" s="65">
        <f t="shared" si="152"/>
        <v>17.9002935</v>
      </c>
      <c r="BA46" s="67">
        <f t="shared" si="153"/>
        <v>605.31600000000003</v>
      </c>
      <c r="BB46" s="67">
        <f t="shared" si="154"/>
        <v>1361.961</v>
      </c>
      <c r="BC46" s="67">
        <f t="shared" si="155"/>
        <v>605.31600000000003</v>
      </c>
      <c r="BD46" s="68">
        <f t="shared" si="156"/>
        <v>121.06320000000001</v>
      </c>
      <c r="BE46" s="68">
        <f t="shared" si="157"/>
        <v>20.177200000000003</v>
      </c>
      <c r="BF46" s="67">
        <f t="shared" si="158"/>
        <v>65.004966999999965</v>
      </c>
      <c r="BG46" s="67">
        <f t="shared" si="159"/>
        <v>350.61772250000001</v>
      </c>
      <c r="BH46" s="67">
        <f t="shared" si="160"/>
        <v>65.427344999999988</v>
      </c>
      <c r="BI46" s="68">
        <f t="shared" si="161"/>
        <v>109.12967099999999</v>
      </c>
      <c r="BJ46" s="68">
        <f t="shared" si="162"/>
        <v>18.188278499999999</v>
      </c>
      <c r="BK46" s="67">
        <f t="shared" si="163"/>
        <v>540.31103300000007</v>
      </c>
      <c r="BL46" s="67">
        <f t="shared" si="164"/>
        <v>1011.3432775</v>
      </c>
      <c r="BM46" s="67">
        <f t="shared" si="165"/>
        <v>539.88865500000009</v>
      </c>
      <c r="BN46" s="68">
        <f t="shared" si="166"/>
        <v>11.933529</v>
      </c>
      <c r="BO46" s="187">
        <f t="shared" si="167"/>
        <v>1.9889215</v>
      </c>
      <c r="BP46" s="157"/>
      <c r="BQ46" s="148"/>
      <c r="BR46" s="148"/>
      <c r="BS46" s="148"/>
      <c r="BT46" s="148"/>
      <c r="BU46" s="148"/>
      <c r="BV46" s="151">
        <v>647005</v>
      </c>
      <c r="BW46" s="150">
        <f t="shared" si="186"/>
        <v>679355.25</v>
      </c>
      <c r="BX46" s="150">
        <f t="shared" si="176"/>
        <v>780579.17999999993</v>
      </c>
      <c r="BY46" s="150">
        <f t="shared" si="177"/>
        <v>783701.49999999988</v>
      </c>
      <c r="BZ46" s="155">
        <f t="shared" si="99"/>
        <v>801726.62999999989</v>
      </c>
      <c r="CA46" s="179">
        <f t="shared" si="101"/>
        <v>820166.33999999985</v>
      </c>
      <c r="CB46" s="203">
        <f t="shared" si="168"/>
        <v>77915.802299999981</v>
      </c>
      <c r="CC46" s="198">
        <f t="shared" si="178"/>
        <v>839030.16999999981</v>
      </c>
      <c r="CD46" s="206">
        <f t="shared" si="169"/>
        <v>79707.866149999987</v>
      </c>
      <c r="CE46" s="150">
        <f t="shared" si="179"/>
        <v>858327.85999999975</v>
      </c>
      <c r="CF46" s="206">
        <f t="shared" si="170"/>
        <v>81541.146699999983</v>
      </c>
      <c r="CG46" s="150">
        <f t="shared" si="180"/>
        <v>878069.39999999979</v>
      </c>
      <c r="CH46" s="206">
        <f t="shared" si="171"/>
        <v>83416.592999999979</v>
      </c>
      <c r="CI46" s="150">
        <f t="shared" si="181"/>
        <v>898264.99999999977</v>
      </c>
      <c r="CJ46" s="206">
        <f t="shared" si="172"/>
        <v>85335.174999999974</v>
      </c>
      <c r="CK46" s="150">
        <f t="shared" si="182"/>
        <v>918925.09999999974</v>
      </c>
      <c r="CL46" s="206">
        <f t="shared" si="173"/>
        <v>87297.884499999971</v>
      </c>
      <c r="CM46" s="150">
        <f t="shared" si="183"/>
        <v>940060.37999999977</v>
      </c>
      <c r="CN46" s="150">
        <f t="shared" si="184"/>
        <v>961681.76999999979</v>
      </c>
      <c r="CO46" s="157"/>
      <c r="CP46" s="148"/>
      <c r="CQ46" s="148"/>
      <c r="CR46" s="148"/>
      <c r="CS46" s="148"/>
      <c r="CT46" s="148"/>
      <c r="CU46" s="151">
        <v>978105</v>
      </c>
      <c r="CV46" s="150">
        <f t="shared" si="187"/>
        <v>1027010.25</v>
      </c>
      <c r="CW46" s="150">
        <f t="shared" ref="CW46:DG46" si="200">CV46+ROUND(CV46*CW$6,2)</f>
        <v>1180034.78</v>
      </c>
      <c r="CX46" s="150">
        <f t="shared" si="200"/>
        <v>1184754.92</v>
      </c>
      <c r="CY46" s="150">
        <f t="shared" si="200"/>
        <v>1212004.28</v>
      </c>
      <c r="CZ46" s="155">
        <f t="shared" si="200"/>
        <v>1242304.3900000001</v>
      </c>
      <c r="DA46" s="155">
        <f t="shared" si="200"/>
        <v>1273362.0000000002</v>
      </c>
      <c r="DB46" s="155">
        <f t="shared" si="200"/>
        <v>1305196.0500000003</v>
      </c>
      <c r="DC46" s="155">
        <f t="shared" si="200"/>
        <v>1337825.9500000002</v>
      </c>
      <c r="DD46" s="155">
        <f t="shared" si="200"/>
        <v>1371271.6</v>
      </c>
      <c r="DE46" s="155">
        <f t="shared" si="200"/>
        <v>1405553.3900000001</v>
      </c>
      <c r="DF46" s="155">
        <f t="shared" si="200"/>
        <v>1440692.2200000002</v>
      </c>
      <c r="DG46" s="155">
        <f t="shared" si="200"/>
        <v>1476709.5300000003</v>
      </c>
      <c r="DH46" s="236">
        <v>0</v>
      </c>
      <c r="DI46" s="243">
        <f t="shared" si="199"/>
        <v>820166.33999999985</v>
      </c>
      <c r="DJ46" s="248">
        <f t="shared" si="175"/>
        <v>1559.2515969581746</v>
      </c>
      <c r="DK46" s="382">
        <f>CA46/'1.piel'!M45</f>
        <v>1559.2515969581746</v>
      </c>
      <c r="DL46">
        <f>DH46/'1.piel'!G45</f>
        <v>0</v>
      </c>
    </row>
    <row r="47" spans="2:116" x14ac:dyDescent="0.25">
      <c r="B47" s="52">
        <v>17</v>
      </c>
      <c r="C47" s="53" t="s">
        <v>60</v>
      </c>
      <c r="D47" s="40" t="s">
        <v>265</v>
      </c>
      <c r="E47" s="110">
        <v>10665</v>
      </c>
      <c r="F47" s="178">
        <v>14688</v>
      </c>
      <c r="G47" s="36">
        <v>523</v>
      </c>
      <c r="H47" s="99">
        <f t="shared" si="114"/>
        <v>15211</v>
      </c>
      <c r="I47" s="94">
        <f t="shared" si="115"/>
        <v>0.86117919389978215</v>
      </c>
      <c r="J47" s="89">
        <v>12649</v>
      </c>
      <c r="K47" s="98">
        <f t="shared" si="116"/>
        <v>0.13882080610021785</v>
      </c>
      <c r="L47" s="99">
        <f t="shared" si="117"/>
        <v>2039</v>
      </c>
      <c r="M47" s="174">
        <f t="shared" si="118"/>
        <v>44.6541</v>
      </c>
      <c r="N47" s="64">
        <f t="shared" si="119"/>
        <v>100.47172500000001</v>
      </c>
      <c r="O47" s="64">
        <f t="shared" si="120"/>
        <v>44.6541</v>
      </c>
      <c r="P47" s="64">
        <f t="shared" si="121"/>
        <v>8.9308200000000006</v>
      </c>
      <c r="Q47" s="64">
        <f t="shared" si="122"/>
        <v>1.48847</v>
      </c>
      <c r="R47" s="64">
        <f t="shared" si="123"/>
        <v>9.6750550000000004</v>
      </c>
      <c r="S47" s="64">
        <f t="shared" si="124"/>
        <v>16.373169999999998</v>
      </c>
      <c r="T47" s="64">
        <f t="shared" si="125"/>
        <v>11.163525</v>
      </c>
      <c r="U47" s="64">
        <f t="shared" si="126"/>
        <v>2.2327050000000002</v>
      </c>
      <c r="V47" s="64">
        <f t="shared" si="127"/>
        <v>0.37211749999999999</v>
      </c>
      <c r="W47" s="64">
        <f t="shared" si="128"/>
        <v>14.140465000000001</v>
      </c>
      <c r="X47" s="64">
        <f t="shared" si="129"/>
        <v>23.815519999999999</v>
      </c>
      <c r="Y47" s="64">
        <f t="shared" si="130"/>
        <v>11.163525</v>
      </c>
      <c r="Z47" s="64">
        <f t="shared" si="131"/>
        <v>0</v>
      </c>
      <c r="AA47" s="64">
        <f t="shared" si="132"/>
        <v>0</v>
      </c>
      <c r="AB47" s="64">
        <f t="shared" si="133"/>
        <v>20.83858</v>
      </c>
      <c r="AC47" s="64">
        <f t="shared" si="134"/>
        <v>60.283034999999998</v>
      </c>
      <c r="AD47" s="64">
        <f t="shared" si="135"/>
        <v>22.32705</v>
      </c>
      <c r="AE47" s="64">
        <f t="shared" si="136"/>
        <v>6.6981149999999996</v>
      </c>
      <c r="AF47" s="64">
        <f t="shared" si="137"/>
        <v>1.1163525000000001</v>
      </c>
      <c r="AG47" s="65">
        <f t="shared" si="138"/>
        <v>288.46679999999998</v>
      </c>
      <c r="AH47" s="65">
        <f t="shared" si="139"/>
        <v>649.05029999999999</v>
      </c>
      <c r="AI47" s="65">
        <f t="shared" si="140"/>
        <v>288.46679999999998</v>
      </c>
      <c r="AJ47" s="65">
        <f t="shared" si="141"/>
        <v>57.693359999999998</v>
      </c>
      <c r="AK47" s="65">
        <f t="shared" si="142"/>
        <v>9.6155600000000003</v>
      </c>
      <c r="AL47" s="66">
        <v>0.9</v>
      </c>
      <c r="AM47" s="66">
        <v>0.75</v>
      </c>
      <c r="AN47" s="66">
        <v>0.9</v>
      </c>
      <c r="AO47" s="66">
        <v>0.1</v>
      </c>
      <c r="AP47" s="66">
        <v>0.1</v>
      </c>
      <c r="AQ47" s="65">
        <f t="shared" si="143"/>
        <v>268.32766949999996</v>
      </c>
      <c r="AR47" s="65">
        <f t="shared" si="144"/>
        <v>499.06760249999996</v>
      </c>
      <c r="AS47" s="65">
        <f t="shared" si="145"/>
        <v>269.66729249999997</v>
      </c>
      <c r="AT47" s="65">
        <f t="shared" si="146"/>
        <v>5.9926065000000008</v>
      </c>
      <c r="AU47" s="65">
        <f t="shared" si="147"/>
        <v>0.99876775000000007</v>
      </c>
      <c r="AV47" s="65">
        <f t="shared" si="148"/>
        <v>29.814185500000008</v>
      </c>
      <c r="AW47" s="65">
        <f t="shared" si="149"/>
        <v>166.35586749999999</v>
      </c>
      <c r="AX47" s="65">
        <f t="shared" si="150"/>
        <v>29.963032499999997</v>
      </c>
      <c r="AY47" s="65">
        <f t="shared" si="151"/>
        <v>53.9334585</v>
      </c>
      <c r="AZ47" s="65">
        <f t="shared" si="152"/>
        <v>8.9889097499999995</v>
      </c>
      <c r="BA47" s="67">
        <f t="shared" si="153"/>
        <v>333.12090000000001</v>
      </c>
      <c r="BB47" s="67">
        <f t="shared" si="154"/>
        <v>749.52202499999999</v>
      </c>
      <c r="BC47" s="67">
        <f t="shared" si="155"/>
        <v>333.12090000000001</v>
      </c>
      <c r="BD47" s="68">
        <f t="shared" si="156"/>
        <v>66.624179999999996</v>
      </c>
      <c r="BE47" s="68">
        <f t="shared" si="157"/>
        <v>11.10403</v>
      </c>
      <c r="BF47" s="67">
        <f t="shared" si="158"/>
        <v>50.652765500000008</v>
      </c>
      <c r="BG47" s="67">
        <f t="shared" si="159"/>
        <v>226.63890249999997</v>
      </c>
      <c r="BH47" s="67">
        <f t="shared" si="160"/>
        <v>52.290082499999997</v>
      </c>
      <c r="BI47" s="68">
        <f t="shared" si="161"/>
        <v>60.631573500000002</v>
      </c>
      <c r="BJ47" s="68">
        <f t="shared" si="162"/>
        <v>10.105262249999999</v>
      </c>
      <c r="BK47" s="67">
        <f t="shared" si="163"/>
        <v>282.46813449999996</v>
      </c>
      <c r="BL47" s="67">
        <f t="shared" si="164"/>
        <v>522.88312250000001</v>
      </c>
      <c r="BM47" s="67">
        <f t="shared" si="165"/>
        <v>280.83081749999997</v>
      </c>
      <c r="BN47" s="68">
        <f t="shared" si="166"/>
        <v>5.9926065000000008</v>
      </c>
      <c r="BO47" s="187">
        <f t="shared" si="167"/>
        <v>0.99876775000000007</v>
      </c>
      <c r="BP47" s="157"/>
      <c r="BQ47" s="148"/>
      <c r="BR47" s="148"/>
      <c r="BS47" s="148"/>
      <c r="BT47" s="148"/>
      <c r="BU47" s="151">
        <f>724300+400000+498860+142900+25000+150000</f>
        <v>1941060</v>
      </c>
      <c r="BV47" s="150">
        <f>BU47+ROUND(BU47*$BV$6,2)</f>
        <v>1739189.76</v>
      </c>
      <c r="BW47" s="150">
        <f t="shared" si="186"/>
        <v>1826149.25</v>
      </c>
      <c r="BX47" s="150">
        <f t="shared" si="176"/>
        <v>2098245.4900000002</v>
      </c>
      <c r="BY47" s="150">
        <f t="shared" si="177"/>
        <v>2106638.4700000002</v>
      </c>
      <c r="BZ47" s="155">
        <f t="shared" si="99"/>
        <v>2155091.1500000004</v>
      </c>
      <c r="CA47" s="179">
        <f t="shared" si="101"/>
        <v>2204658.2500000005</v>
      </c>
      <c r="CB47" s="203">
        <f t="shared" si="168"/>
        <v>209442.53375000006</v>
      </c>
      <c r="CC47" s="198">
        <f t="shared" si="178"/>
        <v>2255365.3900000006</v>
      </c>
      <c r="CD47" s="206">
        <f t="shared" si="169"/>
        <v>214259.71205000006</v>
      </c>
      <c r="CE47" s="150">
        <f t="shared" si="179"/>
        <v>2307238.7900000005</v>
      </c>
      <c r="CF47" s="206">
        <f t="shared" si="170"/>
        <v>219187.68505000006</v>
      </c>
      <c r="CG47" s="150">
        <f t="shared" si="180"/>
        <v>2360305.2800000007</v>
      </c>
      <c r="CH47" s="206">
        <f t="shared" si="171"/>
        <v>224229.00160000008</v>
      </c>
      <c r="CI47" s="150">
        <f t="shared" si="181"/>
        <v>2414592.3000000007</v>
      </c>
      <c r="CJ47" s="206">
        <f t="shared" si="172"/>
        <v>229386.26850000006</v>
      </c>
      <c r="CK47" s="150">
        <f t="shared" si="182"/>
        <v>2470127.9200000009</v>
      </c>
      <c r="CL47" s="206">
        <f t="shared" si="173"/>
        <v>234662.15240000008</v>
      </c>
      <c r="CM47" s="150">
        <f t="shared" si="183"/>
        <v>2526940.8600000008</v>
      </c>
      <c r="CN47" s="150">
        <f t="shared" si="184"/>
        <v>2585060.5000000009</v>
      </c>
      <c r="CO47" s="157"/>
      <c r="CP47" s="148"/>
      <c r="CQ47" s="148"/>
      <c r="CR47" s="148"/>
      <c r="CS47" s="148"/>
      <c r="CT47" s="151">
        <f>29500+50000</f>
        <v>79500</v>
      </c>
      <c r="CU47" s="150">
        <f>CT47+ROUND(CT47*CU$6,2)</f>
        <v>71232</v>
      </c>
      <c r="CV47" s="150">
        <f t="shared" si="187"/>
        <v>74793.600000000006</v>
      </c>
      <c r="CW47" s="150">
        <f t="shared" ref="CW47:DG47" si="201">CV47+ROUND(CV47*CW$6,2)</f>
        <v>85937.85</v>
      </c>
      <c r="CX47" s="150">
        <f t="shared" si="201"/>
        <v>86281.600000000006</v>
      </c>
      <c r="CY47" s="150">
        <f t="shared" si="201"/>
        <v>88266.08</v>
      </c>
      <c r="CZ47" s="155">
        <f t="shared" si="201"/>
        <v>90472.73</v>
      </c>
      <c r="DA47" s="155">
        <f t="shared" si="201"/>
        <v>92734.55</v>
      </c>
      <c r="DB47" s="155">
        <f t="shared" si="201"/>
        <v>95052.91</v>
      </c>
      <c r="DC47" s="155">
        <f t="shared" si="201"/>
        <v>97429.23000000001</v>
      </c>
      <c r="DD47" s="155">
        <f t="shared" si="201"/>
        <v>99864.960000000006</v>
      </c>
      <c r="DE47" s="155">
        <f t="shared" si="201"/>
        <v>102361.58</v>
      </c>
      <c r="DF47" s="155">
        <f t="shared" si="201"/>
        <v>104920.62</v>
      </c>
      <c r="DG47" s="155">
        <f t="shared" si="201"/>
        <v>107543.64</v>
      </c>
      <c r="DH47" s="236">
        <v>0</v>
      </c>
      <c r="DI47" s="243">
        <f t="shared" si="199"/>
        <v>2204658.2500000005</v>
      </c>
      <c r="DJ47" s="248">
        <f t="shared" si="175"/>
        <v>1081.2448504168713</v>
      </c>
      <c r="DK47" s="382">
        <f>CA47/'1.piel'!M46</f>
        <v>1081.2448504168713</v>
      </c>
      <c r="DL47">
        <f>DH47/'1.piel'!G46</f>
        <v>0</v>
      </c>
    </row>
    <row r="48" spans="2:116" x14ac:dyDescent="0.25">
      <c r="B48" s="52">
        <v>27</v>
      </c>
      <c r="C48" s="53" t="s">
        <v>71</v>
      </c>
      <c r="D48" s="40" t="s">
        <v>265</v>
      </c>
      <c r="E48" s="110">
        <v>7786</v>
      </c>
      <c r="F48" s="178">
        <v>8585</v>
      </c>
      <c r="G48" s="63">
        <v>46</v>
      </c>
      <c r="H48" s="99">
        <f t="shared" si="114"/>
        <v>8631</v>
      </c>
      <c r="I48" s="94">
        <f t="shared" si="115"/>
        <v>0.84787419918462437</v>
      </c>
      <c r="J48" s="89">
        <v>7279</v>
      </c>
      <c r="K48" s="98">
        <f t="shared" si="116"/>
        <v>0.15212580081537566</v>
      </c>
      <c r="L48" s="99">
        <f t="shared" si="117"/>
        <v>1306</v>
      </c>
      <c r="M48" s="174">
        <f t="shared" si="118"/>
        <v>28.601400000000002</v>
      </c>
      <c r="N48" s="64">
        <f t="shared" si="119"/>
        <v>64.353149999999999</v>
      </c>
      <c r="O48" s="64">
        <f t="shared" si="120"/>
        <v>28.601400000000002</v>
      </c>
      <c r="P48" s="64">
        <f t="shared" si="121"/>
        <v>5.7202799999999998</v>
      </c>
      <c r="Q48" s="64">
        <f t="shared" si="122"/>
        <v>0.95338000000000001</v>
      </c>
      <c r="R48" s="64">
        <f t="shared" si="123"/>
        <v>6.1969700000000003</v>
      </c>
      <c r="S48" s="64">
        <f t="shared" si="124"/>
        <v>10.48718</v>
      </c>
      <c r="T48" s="64">
        <f t="shared" si="125"/>
        <v>7.1503500000000004</v>
      </c>
      <c r="U48" s="64">
        <f t="shared" si="126"/>
        <v>1.43007</v>
      </c>
      <c r="V48" s="64">
        <f t="shared" si="127"/>
        <v>0.238345</v>
      </c>
      <c r="W48" s="64">
        <f t="shared" si="128"/>
        <v>9.0571099999999998</v>
      </c>
      <c r="X48" s="64">
        <f t="shared" si="129"/>
        <v>15.25408</v>
      </c>
      <c r="Y48" s="64">
        <f t="shared" si="130"/>
        <v>7.1503500000000004</v>
      </c>
      <c r="Z48" s="64">
        <f t="shared" si="131"/>
        <v>0</v>
      </c>
      <c r="AA48" s="64">
        <f t="shared" si="132"/>
        <v>0</v>
      </c>
      <c r="AB48" s="64">
        <f t="shared" si="133"/>
        <v>13.34732</v>
      </c>
      <c r="AC48" s="64">
        <f t="shared" si="134"/>
        <v>38.611890000000002</v>
      </c>
      <c r="AD48" s="64">
        <f t="shared" si="135"/>
        <v>14.300700000000001</v>
      </c>
      <c r="AE48" s="64">
        <f t="shared" si="136"/>
        <v>4.2902100000000001</v>
      </c>
      <c r="AF48" s="64">
        <f t="shared" si="137"/>
        <v>0.71503499999999998</v>
      </c>
      <c r="AG48" s="65">
        <f t="shared" si="138"/>
        <v>160.41749999999999</v>
      </c>
      <c r="AH48" s="65">
        <f t="shared" si="139"/>
        <v>360.93937499999998</v>
      </c>
      <c r="AI48" s="65">
        <f t="shared" si="140"/>
        <v>160.41749999999999</v>
      </c>
      <c r="AJ48" s="65">
        <f t="shared" si="141"/>
        <v>32.083500000000001</v>
      </c>
      <c r="AK48" s="65">
        <f t="shared" si="142"/>
        <v>5.3472499999999998</v>
      </c>
      <c r="AL48" s="66">
        <v>0.9</v>
      </c>
      <c r="AM48" s="66">
        <v>0.75</v>
      </c>
      <c r="AN48" s="66">
        <v>0.9</v>
      </c>
      <c r="AO48" s="66">
        <v>0.1</v>
      </c>
      <c r="AP48" s="66">
        <v>0.1</v>
      </c>
      <c r="AQ48" s="65">
        <f t="shared" si="143"/>
        <v>149.953023</v>
      </c>
      <c r="AR48" s="65">
        <f t="shared" si="144"/>
        <v>278.56991625000001</v>
      </c>
      <c r="AS48" s="65">
        <f t="shared" si="145"/>
        <v>150.81106499999999</v>
      </c>
      <c r="AT48" s="65">
        <f t="shared" si="146"/>
        <v>3.3513570000000001</v>
      </c>
      <c r="AU48" s="65">
        <f t="shared" si="147"/>
        <v>0.55855949999999999</v>
      </c>
      <c r="AV48" s="65">
        <f t="shared" si="148"/>
        <v>16.661446999999981</v>
      </c>
      <c r="AW48" s="65">
        <f t="shared" si="149"/>
        <v>92.856638750000002</v>
      </c>
      <c r="AX48" s="65">
        <f t="shared" si="150"/>
        <v>16.756785000000008</v>
      </c>
      <c r="AY48" s="65">
        <f t="shared" si="151"/>
        <v>30.162213000000001</v>
      </c>
      <c r="AZ48" s="65">
        <f t="shared" si="152"/>
        <v>5.0270354999999993</v>
      </c>
      <c r="BA48" s="67">
        <f t="shared" si="153"/>
        <v>189.0189</v>
      </c>
      <c r="BB48" s="67">
        <f t="shared" si="154"/>
        <v>425.29252499999996</v>
      </c>
      <c r="BC48" s="67">
        <f t="shared" si="155"/>
        <v>189.0189</v>
      </c>
      <c r="BD48" s="68">
        <f t="shared" si="156"/>
        <v>37.803780000000003</v>
      </c>
      <c r="BE48" s="68">
        <f t="shared" si="157"/>
        <v>6.30063</v>
      </c>
      <c r="BF48" s="67">
        <f t="shared" si="158"/>
        <v>30.008766999999981</v>
      </c>
      <c r="BG48" s="67">
        <f t="shared" si="159"/>
        <v>131.46852875000002</v>
      </c>
      <c r="BH48" s="67">
        <f t="shared" si="160"/>
        <v>31.057485000000007</v>
      </c>
      <c r="BI48" s="68">
        <f t="shared" si="161"/>
        <v>34.452423000000003</v>
      </c>
      <c r="BJ48" s="68">
        <f t="shared" si="162"/>
        <v>5.7420704999999996</v>
      </c>
      <c r="BK48" s="67">
        <f t="shared" si="163"/>
        <v>159.010133</v>
      </c>
      <c r="BL48" s="67">
        <f t="shared" si="164"/>
        <v>293.82399624999999</v>
      </c>
      <c r="BM48" s="67">
        <f t="shared" si="165"/>
        <v>157.96141499999999</v>
      </c>
      <c r="BN48" s="68">
        <f t="shared" si="166"/>
        <v>3.3513570000000001</v>
      </c>
      <c r="BO48" s="187">
        <f t="shared" si="167"/>
        <v>0.55855949999999999</v>
      </c>
      <c r="BP48" s="157"/>
      <c r="BQ48" s="148"/>
      <c r="BR48" s="148"/>
      <c r="BS48" s="151">
        <f>173556+93358+100539+86071+58900+80091+55700+67250</f>
        <v>715465</v>
      </c>
      <c r="BT48" s="150">
        <f>BS48+ROUND(BS48*$BT$6,2)</f>
        <v>818491.96</v>
      </c>
      <c r="BU48" s="150">
        <f>BT48+ROUND(BT48*$BU$6,2)</f>
        <v>748920.1399999999</v>
      </c>
      <c r="BV48" s="150">
        <f>BU48+ROUND(BU48*$BV$6,2)</f>
        <v>671032.44999999995</v>
      </c>
      <c r="BW48" s="150">
        <f t="shared" si="186"/>
        <v>704584.07</v>
      </c>
      <c r="BX48" s="150">
        <f t="shared" si="176"/>
        <v>809567.1</v>
      </c>
      <c r="BY48" s="150">
        <f t="shared" si="177"/>
        <v>812805.37</v>
      </c>
      <c r="BZ48" s="155">
        <f t="shared" si="99"/>
        <v>831499.89</v>
      </c>
      <c r="CA48" s="179">
        <f t="shared" si="101"/>
        <v>850624.39</v>
      </c>
      <c r="CB48" s="203">
        <f t="shared" si="168"/>
        <v>80809.317049999998</v>
      </c>
      <c r="CC48" s="198">
        <f t="shared" si="178"/>
        <v>870188.75</v>
      </c>
      <c r="CD48" s="206">
        <f t="shared" si="169"/>
        <v>82667.931249999994</v>
      </c>
      <c r="CE48" s="150">
        <f t="shared" si="179"/>
        <v>890203.09</v>
      </c>
      <c r="CF48" s="206">
        <f t="shared" si="170"/>
        <v>84569.293550000002</v>
      </c>
      <c r="CG48" s="150">
        <f t="shared" si="180"/>
        <v>910677.76</v>
      </c>
      <c r="CH48" s="206">
        <f t="shared" si="171"/>
        <v>86514.387199999997</v>
      </c>
      <c r="CI48" s="150">
        <f t="shared" si="181"/>
        <v>931623.35</v>
      </c>
      <c r="CJ48" s="206">
        <f t="shared" si="172"/>
        <v>88504.218250000005</v>
      </c>
      <c r="CK48" s="150">
        <f t="shared" si="182"/>
        <v>953050.69</v>
      </c>
      <c r="CL48" s="206">
        <f t="shared" si="173"/>
        <v>90539.815549999999</v>
      </c>
      <c r="CM48" s="150">
        <f t="shared" si="183"/>
        <v>974970.86</v>
      </c>
      <c r="CN48" s="150">
        <f t="shared" si="184"/>
        <v>997395.19</v>
      </c>
      <c r="CO48" s="157"/>
      <c r="CP48" s="148"/>
      <c r="CQ48" s="148"/>
      <c r="CR48" s="151">
        <f>63552+280840</f>
        <v>344392</v>
      </c>
      <c r="CS48" s="150">
        <f>CR48+ROUND(CR48*CS$6,2)</f>
        <v>393984.45</v>
      </c>
      <c r="CT48" s="150">
        <f>CS48+ROUND(CS48*CT$6,2)</f>
        <v>360495.77</v>
      </c>
      <c r="CU48" s="150">
        <f>CT48+ROUND(CT48*CU$6,2)</f>
        <v>323004.21000000002</v>
      </c>
      <c r="CV48" s="150">
        <f t="shared" si="187"/>
        <v>339154.42000000004</v>
      </c>
      <c r="CW48" s="150">
        <f t="shared" ref="CW48:DG48" si="202">CV48+ROUND(CV48*CW$6,2)</f>
        <v>389688.43000000005</v>
      </c>
      <c r="CX48" s="150">
        <f t="shared" si="202"/>
        <v>391247.18000000005</v>
      </c>
      <c r="CY48" s="150">
        <f t="shared" si="202"/>
        <v>400245.87000000005</v>
      </c>
      <c r="CZ48" s="155">
        <f t="shared" si="202"/>
        <v>410252.02000000008</v>
      </c>
      <c r="DA48" s="155">
        <f t="shared" si="202"/>
        <v>420508.32000000007</v>
      </c>
      <c r="DB48" s="155">
        <f t="shared" si="202"/>
        <v>431021.03000000009</v>
      </c>
      <c r="DC48" s="155">
        <f t="shared" si="202"/>
        <v>441796.56000000011</v>
      </c>
      <c r="DD48" s="155">
        <f t="shared" si="202"/>
        <v>452841.47000000009</v>
      </c>
      <c r="DE48" s="155">
        <f t="shared" si="202"/>
        <v>464162.51000000007</v>
      </c>
      <c r="DF48" s="155">
        <f t="shared" si="202"/>
        <v>475766.57000000007</v>
      </c>
      <c r="DG48" s="155">
        <f t="shared" si="202"/>
        <v>487660.73000000004</v>
      </c>
      <c r="DH48" s="236">
        <v>0</v>
      </c>
      <c r="DI48" s="243">
        <f t="shared" si="199"/>
        <v>850624.39</v>
      </c>
      <c r="DJ48" s="248">
        <f t="shared" si="175"/>
        <v>651.3203598774885</v>
      </c>
      <c r="DK48" s="382">
        <f>CA48/'1.piel'!M47</f>
        <v>651.3203598774885</v>
      </c>
      <c r="DL48">
        <f>DH48/'1.piel'!G47</f>
        <v>0</v>
      </c>
    </row>
    <row r="49" spans="2:116" x14ac:dyDescent="0.25">
      <c r="B49" s="52">
        <v>29</v>
      </c>
      <c r="C49" s="53" t="s">
        <v>69</v>
      </c>
      <c r="D49" s="36" t="s">
        <v>265</v>
      </c>
      <c r="E49" s="110">
        <v>7589</v>
      </c>
      <c r="F49" s="178">
        <v>8696</v>
      </c>
      <c r="G49" s="63">
        <v>2354</v>
      </c>
      <c r="H49" s="99">
        <f t="shared" si="114"/>
        <v>11050</v>
      </c>
      <c r="I49" s="94">
        <f t="shared" si="115"/>
        <v>1</v>
      </c>
      <c r="J49" s="89">
        <v>8696</v>
      </c>
      <c r="K49" s="98">
        <f t="shared" si="116"/>
        <v>0</v>
      </c>
      <c r="L49" s="99">
        <f t="shared" si="117"/>
        <v>0</v>
      </c>
      <c r="M49" s="174">
        <f t="shared" si="118"/>
        <v>0</v>
      </c>
      <c r="N49" s="64">
        <f t="shared" si="119"/>
        <v>0</v>
      </c>
      <c r="O49" s="64">
        <f t="shared" si="120"/>
        <v>0</v>
      </c>
      <c r="P49" s="64">
        <f t="shared" si="121"/>
        <v>0</v>
      </c>
      <c r="Q49" s="64">
        <f t="shared" si="122"/>
        <v>0</v>
      </c>
      <c r="R49" s="64">
        <f t="shared" si="123"/>
        <v>0</v>
      </c>
      <c r="S49" s="64">
        <f t="shared" si="124"/>
        <v>0</v>
      </c>
      <c r="T49" s="64">
        <f t="shared" si="125"/>
        <v>0</v>
      </c>
      <c r="U49" s="64">
        <f t="shared" si="126"/>
        <v>0</v>
      </c>
      <c r="V49" s="64">
        <f t="shared" si="127"/>
        <v>0</v>
      </c>
      <c r="W49" s="64">
        <f t="shared" si="128"/>
        <v>0</v>
      </c>
      <c r="X49" s="64">
        <f t="shared" si="129"/>
        <v>0</v>
      </c>
      <c r="Y49" s="64">
        <f t="shared" si="130"/>
        <v>0</v>
      </c>
      <c r="Z49" s="64">
        <f t="shared" si="131"/>
        <v>0</v>
      </c>
      <c r="AA49" s="64">
        <f t="shared" si="132"/>
        <v>0</v>
      </c>
      <c r="AB49" s="64">
        <f t="shared" si="133"/>
        <v>0</v>
      </c>
      <c r="AC49" s="64">
        <f t="shared" si="134"/>
        <v>0</v>
      </c>
      <c r="AD49" s="64">
        <f t="shared" si="135"/>
        <v>0</v>
      </c>
      <c r="AE49" s="64">
        <f t="shared" si="136"/>
        <v>0</v>
      </c>
      <c r="AF49" s="64">
        <f t="shared" si="137"/>
        <v>0</v>
      </c>
      <c r="AG49" s="65">
        <f t="shared" si="138"/>
        <v>241.995</v>
      </c>
      <c r="AH49" s="65">
        <f t="shared" si="139"/>
        <v>544.48874999999998</v>
      </c>
      <c r="AI49" s="65">
        <f t="shared" si="140"/>
        <v>241.995</v>
      </c>
      <c r="AJ49" s="65">
        <f t="shared" si="141"/>
        <v>48.399000000000001</v>
      </c>
      <c r="AK49" s="65">
        <f t="shared" si="142"/>
        <v>8.0664999999999996</v>
      </c>
      <c r="AL49" s="66">
        <v>0.9</v>
      </c>
      <c r="AM49" s="66">
        <v>0.75</v>
      </c>
      <c r="AN49" s="66">
        <v>0.9</v>
      </c>
      <c r="AO49" s="66">
        <v>0.1</v>
      </c>
      <c r="AP49" s="66">
        <v>0.1</v>
      </c>
      <c r="AQ49" s="65">
        <f t="shared" si="143"/>
        <v>217.7955</v>
      </c>
      <c r="AR49" s="65">
        <f t="shared" si="144"/>
        <v>408.36656249999999</v>
      </c>
      <c r="AS49" s="65">
        <f t="shared" si="145"/>
        <v>217.7955</v>
      </c>
      <c r="AT49" s="65">
        <f t="shared" si="146"/>
        <v>4.8399000000000001</v>
      </c>
      <c r="AU49" s="65">
        <f t="shared" si="147"/>
        <v>0.80664999999999998</v>
      </c>
      <c r="AV49" s="65">
        <f t="shared" si="148"/>
        <v>24.1995</v>
      </c>
      <c r="AW49" s="65">
        <f t="shared" si="149"/>
        <v>136.1221875</v>
      </c>
      <c r="AX49" s="65">
        <f t="shared" si="150"/>
        <v>24.1995</v>
      </c>
      <c r="AY49" s="65">
        <f t="shared" si="151"/>
        <v>43.559100000000001</v>
      </c>
      <c r="AZ49" s="65">
        <f t="shared" si="152"/>
        <v>7.2598499999999992</v>
      </c>
      <c r="BA49" s="67">
        <f t="shared" si="153"/>
        <v>241.995</v>
      </c>
      <c r="BB49" s="67">
        <f t="shared" si="154"/>
        <v>544.48874999999998</v>
      </c>
      <c r="BC49" s="67">
        <f t="shared" si="155"/>
        <v>241.995</v>
      </c>
      <c r="BD49" s="68">
        <f t="shared" si="156"/>
        <v>48.399000000000001</v>
      </c>
      <c r="BE49" s="68">
        <f t="shared" si="157"/>
        <v>8.0664999999999996</v>
      </c>
      <c r="BF49" s="67">
        <f t="shared" si="158"/>
        <v>24.1995</v>
      </c>
      <c r="BG49" s="67">
        <f t="shared" si="159"/>
        <v>136.1221875</v>
      </c>
      <c r="BH49" s="67">
        <f t="shared" si="160"/>
        <v>24.1995</v>
      </c>
      <c r="BI49" s="68">
        <f t="shared" si="161"/>
        <v>43.559100000000001</v>
      </c>
      <c r="BJ49" s="68">
        <f t="shared" si="162"/>
        <v>7.2598499999999992</v>
      </c>
      <c r="BK49" s="67">
        <f t="shared" si="163"/>
        <v>217.7955</v>
      </c>
      <c r="BL49" s="67">
        <f t="shared" si="164"/>
        <v>408.36656249999999</v>
      </c>
      <c r="BM49" s="67">
        <f t="shared" si="165"/>
        <v>217.7955</v>
      </c>
      <c r="BN49" s="68">
        <f t="shared" si="166"/>
        <v>4.8399000000000001</v>
      </c>
      <c r="BO49" s="187">
        <f t="shared" si="167"/>
        <v>0.80664999999999998</v>
      </c>
      <c r="BP49" s="157"/>
      <c r="BQ49" s="148"/>
      <c r="BR49" s="148"/>
      <c r="BS49" s="148"/>
      <c r="BT49" s="148"/>
      <c r="BU49" s="148"/>
      <c r="BV49" s="151">
        <v>0</v>
      </c>
      <c r="BW49" s="150">
        <f t="shared" si="186"/>
        <v>0</v>
      </c>
      <c r="BX49" s="150">
        <f t="shared" si="176"/>
        <v>0</v>
      </c>
      <c r="BY49" s="150">
        <f t="shared" si="177"/>
        <v>0</v>
      </c>
      <c r="BZ49" s="155">
        <f t="shared" si="99"/>
        <v>0</v>
      </c>
      <c r="CA49" s="179">
        <f t="shared" si="101"/>
        <v>0</v>
      </c>
      <c r="CB49" s="203">
        <f t="shared" si="168"/>
        <v>0</v>
      </c>
      <c r="CC49" s="198">
        <f t="shared" si="178"/>
        <v>0</v>
      </c>
      <c r="CD49" s="206">
        <f t="shared" si="169"/>
        <v>0</v>
      </c>
      <c r="CE49" s="150">
        <f t="shared" si="179"/>
        <v>0</v>
      </c>
      <c r="CF49" s="206">
        <f t="shared" si="170"/>
        <v>0</v>
      </c>
      <c r="CG49" s="150">
        <f t="shared" si="180"/>
        <v>0</v>
      </c>
      <c r="CH49" s="206">
        <f t="shared" si="171"/>
        <v>0</v>
      </c>
      <c r="CI49" s="150">
        <f t="shared" si="181"/>
        <v>0</v>
      </c>
      <c r="CJ49" s="206">
        <f t="shared" si="172"/>
        <v>0</v>
      </c>
      <c r="CK49" s="150">
        <f t="shared" si="182"/>
        <v>0</v>
      </c>
      <c r="CL49" s="206">
        <f t="shared" si="173"/>
        <v>0</v>
      </c>
      <c r="CM49" s="150">
        <f t="shared" si="183"/>
        <v>0</v>
      </c>
      <c r="CN49" s="150">
        <f t="shared" si="184"/>
        <v>0</v>
      </c>
      <c r="CO49" s="157"/>
      <c r="CP49" s="148"/>
      <c r="CQ49" s="148"/>
      <c r="CR49" s="148"/>
      <c r="CS49" s="148"/>
      <c r="CT49" s="148"/>
      <c r="CU49" s="151">
        <f>323320+61950+3040+15340+44840</f>
        <v>448490</v>
      </c>
      <c r="CV49" s="150">
        <f t="shared" si="187"/>
        <v>470914.5</v>
      </c>
      <c r="CW49" s="150">
        <f t="shared" ref="CW49:DG49" si="203">CV49+ROUND(CV49*CW$6,2)</f>
        <v>541080.76</v>
      </c>
      <c r="CX49" s="150">
        <f t="shared" si="203"/>
        <v>543245.07999999996</v>
      </c>
      <c r="CY49" s="150">
        <f t="shared" si="203"/>
        <v>555739.72</v>
      </c>
      <c r="CZ49" s="155">
        <f t="shared" si="203"/>
        <v>569633.21</v>
      </c>
      <c r="DA49" s="155">
        <f t="shared" si="203"/>
        <v>583874.03999999992</v>
      </c>
      <c r="DB49" s="155">
        <f t="shared" si="203"/>
        <v>598470.8899999999</v>
      </c>
      <c r="DC49" s="155">
        <f t="shared" si="203"/>
        <v>613432.65999999992</v>
      </c>
      <c r="DD49" s="155">
        <f t="shared" si="203"/>
        <v>628768.47999999986</v>
      </c>
      <c r="DE49" s="155">
        <f t="shared" si="203"/>
        <v>644487.68999999983</v>
      </c>
      <c r="DF49" s="155">
        <f t="shared" si="203"/>
        <v>660599.87999999977</v>
      </c>
      <c r="DG49" s="155">
        <f t="shared" si="203"/>
        <v>677114.87999999977</v>
      </c>
      <c r="DH49" s="236">
        <v>0</v>
      </c>
      <c r="DI49" s="243">
        <f t="shared" si="199"/>
        <v>0</v>
      </c>
      <c r="DJ49" s="248">
        <f t="shared" si="175"/>
        <v>0</v>
      </c>
      <c r="DK49" s="382">
        <v>0</v>
      </c>
      <c r="DL49">
        <f>DH49/'1.piel'!G48</f>
        <v>0</v>
      </c>
    </row>
    <row r="50" spans="2:116" x14ac:dyDescent="0.25">
      <c r="B50" s="52">
        <v>36</v>
      </c>
      <c r="C50" s="53" t="s">
        <v>76</v>
      </c>
      <c r="D50" s="36" t="s">
        <v>265</v>
      </c>
      <c r="E50" s="110">
        <v>5706</v>
      </c>
      <c r="F50" s="178">
        <v>8467</v>
      </c>
      <c r="G50" s="63">
        <v>418</v>
      </c>
      <c r="H50" s="99">
        <f t="shared" si="114"/>
        <v>8885</v>
      </c>
      <c r="I50" s="94">
        <f t="shared" si="115"/>
        <v>0.86949332703436877</v>
      </c>
      <c r="J50" s="89">
        <v>7362</v>
      </c>
      <c r="K50" s="98">
        <f t="shared" si="116"/>
        <v>0.13050667296563129</v>
      </c>
      <c r="L50" s="99">
        <f t="shared" si="117"/>
        <v>1105</v>
      </c>
      <c r="M50" s="174">
        <f t="shared" si="118"/>
        <v>24.1995</v>
      </c>
      <c r="N50" s="64">
        <f t="shared" si="119"/>
        <v>54.448875000000001</v>
      </c>
      <c r="O50" s="64">
        <f t="shared" si="120"/>
        <v>24.1995</v>
      </c>
      <c r="P50" s="64">
        <f t="shared" si="121"/>
        <v>4.8399000000000001</v>
      </c>
      <c r="Q50" s="64">
        <f t="shared" si="122"/>
        <v>0.80664999999999998</v>
      </c>
      <c r="R50" s="64">
        <f t="shared" si="123"/>
        <v>5.2432249999999998</v>
      </c>
      <c r="S50" s="64">
        <f t="shared" si="124"/>
        <v>8.8731500000000008</v>
      </c>
      <c r="T50" s="64">
        <f t="shared" si="125"/>
        <v>6.0498750000000001</v>
      </c>
      <c r="U50" s="64">
        <f t="shared" si="126"/>
        <v>1.209975</v>
      </c>
      <c r="V50" s="64">
        <f t="shared" si="127"/>
        <v>0.20166249999999999</v>
      </c>
      <c r="W50" s="64">
        <f t="shared" si="128"/>
        <v>7.6631749999999998</v>
      </c>
      <c r="X50" s="64">
        <f t="shared" si="129"/>
        <v>12.9064</v>
      </c>
      <c r="Y50" s="64">
        <f t="shared" si="130"/>
        <v>6.0498750000000001</v>
      </c>
      <c r="Z50" s="64">
        <f t="shared" si="131"/>
        <v>0</v>
      </c>
      <c r="AA50" s="64">
        <f t="shared" si="132"/>
        <v>0</v>
      </c>
      <c r="AB50" s="64">
        <f t="shared" si="133"/>
        <v>11.293100000000001</v>
      </c>
      <c r="AC50" s="64">
        <f t="shared" si="134"/>
        <v>32.669325000000001</v>
      </c>
      <c r="AD50" s="64">
        <f t="shared" si="135"/>
        <v>12.09975</v>
      </c>
      <c r="AE50" s="64">
        <f t="shared" si="136"/>
        <v>3.6299250000000001</v>
      </c>
      <c r="AF50" s="64">
        <f t="shared" si="137"/>
        <v>0.60498750000000001</v>
      </c>
      <c r="AG50" s="65">
        <f t="shared" si="138"/>
        <v>170.38200000000001</v>
      </c>
      <c r="AH50" s="65">
        <f t="shared" si="139"/>
        <v>383.35950000000003</v>
      </c>
      <c r="AI50" s="65">
        <f t="shared" si="140"/>
        <v>170.38200000000001</v>
      </c>
      <c r="AJ50" s="65">
        <f t="shared" si="141"/>
        <v>34.0764</v>
      </c>
      <c r="AK50" s="65">
        <f t="shared" si="142"/>
        <v>5.6794000000000002</v>
      </c>
      <c r="AL50" s="66">
        <v>0.9</v>
      </c>
      <c r="AM50" s="66">
        <v>0.75</v>
      </c>
      <c r="AN50" s="66">
        <v>0.9</v>
      </c>
      <c r="AO50" s="66">
        <v>0.1</v>
      </c>
      <c r="AP50" s="66">
        <v>0.1</v>
      </c>
      <c r="AQ50" s="65">
        <f t="shared" si="143"/>
        <v>158.0627025</v>
      </c>
      <c r="AR50" s="65">
        <f t="shared" si="144"/>
        <v>294.17448750000005</v>
      </c>
      <c r="AS50" s="65">
        <f t="shared" si="145"/>
        <v>158.78868750000001</v>
      </c>
      <c r="AT50" s="65">
        <f t="shared" si="146"/>
        <v>3.5286375000000003</v>
      </c>
      <c r="AU50" s="65">
        <f t="shared" si="147"/>
        <v>0.58810625000000005</v>
      </c>
      <c r="AV50" s="65">
        <f t="shared" si="148"/>
        <v>17.5625225</v>
      </c>
      <c r="AW50" s="65">
        <f t="shared" si="149"/>
        <v>98.05816249999998</v>
      </c>
      <c r="AX50" s="65">
        <f t="shared" si="150"/>
        <v>17.643187499999982</v>
      </c>
      <c r="AY50" s="65">
        <f t="shared" si="151"/>
        <v>31.757737499999998</v>
      </c>
      <c r="AZ50" s="65">
        <f t="shared" si="152"/>
        <v>5.2929562500000005</v>
      </c>
      <c r="BA50" s="67">
        <f t="shared" si="153"/>
        <v>194.58150000000001</v>
      </c>
      <c r="BB50" s="67">
        <f t="shared" si="154"/>
        <v>437.80837500000001</v>
      </c>
      <c r="BC50" s="67">
        <f t="shared" si="155"/>
        <v>194.58150000000001</v>
      </c>
      <c r="BD50" s="68">
        <f t="shared" si="156"/>
        <v>38.9163</v>
      </c>
      <c r="BE50" s="68">
        <f t="shared" si="157"/>
        <v>6.4860500000000005</v>
      </c>
      <c r="BF50" s="67">
        <f t="shared" si="158"/>
        <v>28.855622500000003</v>
      </c>
      <c r="BG50" s="67">
        <f t="shared" si="159"/>
        <v>130.7274875</v>
      </c>
      <c r="BH50" s="67">
        <f t="shared" si="160"/>
        <v>29.742937499999982</v>
      </c>
      <c r="BI50" s="68">
        <f t="shared" si="161"/>
        <v>35.387662499999998</v>
      </c>
      <c r="BJ50" s="68">
        <f t="shared" si="162"/>
        <v>5.8979437500000005</v>
      </c>
      <c r="BK50" s="67">
        <f t="shared" si="163"/>
        <v>165.7258775</v>
      </c>
      <c r="BL50" s="67">
        <f t="shared" si="164"/>
        <v>307.08088750000007</v>
      </c>
      <c r="BM50" s="67">
        <f t="shared" si="165"/>
        <v>164.83856250000002</v>
      </c>
      <c r="BN50" s="68">
        <f t="shared" si="166"/>
        <v>3.5286375000000003</v>
      </c>
      <c r="BO50" s="187">
        <f t="shared" si="167"/>
        <v>0.58810625000000005</v>
      </c>
      <c r="BP50" s="157"/>
      <c r="BQ50" s="148"/>
      <c r="BR50" s="148"/>
      <c r="BS50" s="148"/>
      <c r="BT50" s="148"/>
      <c r="BU50" s="148"/>
      <c r="BV50" s="151">
        <v>488005</v>
      </c>
      <c r="BW50" s="150">
        <f t="shared" si="186"/>
        <v>512405.25</v>
      </c>
      <c r="BX50" s="150">
        <f t="shared" si="176"/>
        <v>588753.63</v>
      </c>
      <c r="BY50" s="150">
        <f t="shared" si="177"/>
        <v>591108.64</v>
      </c>
      <c r="BZ50" s="155">
        <f t="shared" si="99"/>
        <v>604704.14</v>
      </c>
      <c r="CA50" s="179">
        <f t="shared" si="101"/>
        <v>618612.34</v>
      </c>
      <c r="CB50" s="203">
        <f t="shared" si="168"/>
        <v>58768.172299999998</v>
      </c>
      <c r="CC50" s="198">
        <f t="shared" si="178"/>
        <v>632840.41999999993</v>
      </c>
      <c r="CD50" s="206">
        <f t="shared" si="169"/>
        <v>60119.839899999992</v>
      </c>
      <c r="CE50" s="150">
        <f t="shared" si="179"/>
        <v>647395.74999999988</v>
      </c>
      <c r="CF50" s="206">
        <f t="shared" si="170"/>
        <v>61502.596249999988</v>
      </c>
      <c r="CG50" s="150">
        <f t="shared" si="180"/>
        <v>662285.84999999986</v>
      </c>
      <c r="CH50" s="206">
        <f t="shared" si="171"/>
        <v>62917.155749999991</v>
      </c>
      <c r="CI50" s="150">
        <f t="shared" si="181"/>
        <v>677518.41999999981</v>
      </c>
      <c r="CJ50" s="206">
        <f t="shared" si="172"/>
        <v>64364.249899999981</v>
      </c>
      <c r="CK50" s="150">
        <f t="shared" si="182"/>
        <v>693101.33999999985</v>
      </c>
      <c r="CL50" s="206">
        <f t="shared" si="173"/>
        <v>65844.627299999993</v>
      </c>
      <c r="CM50" s="150">
        <f t="shared" si="183"/>
        <v>709042.66999999981</v>
      </c>
      <c r="CN50" s="150">
        <f t="shared" si="184"/>
        <v>725350.64999999979</v>
      </c>
      <c r="CO50" s="157"/>
      <c r="CP50" s="148"/>
      <c r="CQ50" s="148"/>
      <c r="CR50" s="148"/>
      <c r="CS50" s="148"/>
      <c r="CT50" s="148"/>
      <c r="CU50" s="151">
        <v>22000</v>
      </c>
      <c r="CV50" s="150">
        <f t="shared" si="187"/>
        <v>23100</v>
      </c>
      <c r="CW50" s="150">
        <f t="shared" ref="CW50:DG50" si="204">CV50+ROUND(CV50*CW$6,2)</f>
        <v>26541.9</v>
      </c>
      <c r="CX50" s="150">
        <f t="shared" si="204"/>
        <v>26648.07</v>
      </c>
      <c r="CY50" s="150">
        <f t="shared" si="204"/>
        <v>27260.98</v>
      </c>
      <c r="CZ50" s="155">
        <f t="shared" si="204"/>
        <v>27942.5</v>
      </c>
      <c r="DA50" s="155">
        <f t="shared" si="204"/>
        <v>28641.06</v>
      </c>
      <c r="DB50" s="155">
        <f t="shared" si="204"/>
        <v>29357.09</v>
      </c>
      <c r="DC50" s="155">
        <f t="shared" si="204"/>
        <v>30091.02</v>
      </c>
      <c r="DD50" s="155">
        <f t="shared" si="204"/>
        <v>30843.3</v>
      </c>
      <c r="DE50" s="155">
        <f t="shared" si="204"/>
        <v>31614.38</v>
      </c>
      <c r="DF50" s="155">
        <f t="shared" si="204"/>
        <v>32404.74</v>
      </c>
      <c r="DG50" s="155">
        <f t="shared" si="204"/>
        <v>33214.86</v>
      </c>
      <c r="DH50" s="236">
        <v>0</v>
      </c>
      <c r="DI50" s="243">
        <f t="shared" si="199"/>
        <v>618612.34</v>
      </c>
      <c r="DJ50" s="248">
        <f t="shared" si="175"/>
        <v>559.8301719457013</v>
      </c>
      <c r="DK50" s="382">
        <f>CA50/'1.piel'!M49</f>
        <v>559.8301719457013</v>
      </c>
      <c r="DL50">
        <f>DH50/'1.piel'!G49</f>
        <v>0</v>
      </c>
    </row>
    <row r="51" spans="2:116" x14ac:dyDescent="0.25">
      <c r="B51" s="52">
        <v>37</v>
      </c>
      <c r="C51" s="53" t="s">
        <v>79</v>
      </c>
      <c r="D51" s="36" t="s">
        <v>265</v>
      </c>
      <c r="E51" s="110">
        <v>5390</v>
      </c>
      <c r="F51" s="178">
        <v>6294</v>
      </c>
      <c r="G51" s="36">
        <v>990</v>
      </c>
      <c r="H51" s="99">
        <f t="shared" si="114"/>
        <v>7284</v>
      </c>
      <c r="I51" s="94">
        <f t="shared" si="115"/>
        <v>0.92357801080394031</v>
      </c>
      <c r="J51" s="89">
        <v>5813</v>
      </c>
      <c r="K51" s="98">
        <f t="shared" si="116"/>
        <v>7.6421989196059734E-2</v>
      </c>
      <c r="L51" s="99">
        <f t="shared" si="117"/>
        <v>481</v>
      </c>
      <c r="M51" s="174">
        <f t="shared" si="118"/>
        <v>10.533899999999999</v>
      </c>
      <c r="N51" s="64">
        <f t="shared" si="119"/>
        <v>23.701274999999999</v>
      </c>
      <c r="O51" s="64">
        <f t="shared" si="120"/>
        <v>10.533899999999999</v>
      </c>
      <c r="P51" s="64">
        <f t="shared" si="121"/>
        <v>2.1067800000000001</v>
      </c>
      <c r="Q51" s="64">
        <f t="shared" si="122"/>
        <v>0.35113</v>
      </c>
      <c r="R51" s="64">
        <f t="shared" si="123"/>
        <v>2.2823449999999998</v>
      </c>
      <c r="S51" s="64">
        <f t="shared" si="124"/>
        <v>3.8624299999999998</v>
      </c>
      <c r="T51" s="64">
        <f t="shared" si="125"/>
        <v>2.6334749999999998</v>
      </c>
      <c r="U51" s="64">
        <f t="shared" si="126"/>
        <v>0.52669500000000002</v>
      </c>
      <c r="V51" s="64">
        <f t="shared" si="127"/>
        <v>8.7782499999999999E-2</v>
      </c>
      <c r="W51" s="64">
        <f t="shared" si="128"/>
        <v>3.3357350000000001</v>
      </c>
      <c r="X51" s="64">
        <f t="shared" si="129"/>
        <v>5.61808</v>
      </c>
      <c r="Y51" s="64">
        <f t="shared" si="130"/>
        <v>2.6334749999999998</v>
      </c>
      <c r="Z51" s="64">
        <f t="shared" si="131"/>
        <v>0</v>
      </c>
      <c r="AA51" s="64">
        <f t="shared" si="132"/>
        <v>0</v>
      </c>
      <c r="AB51" s="64">
        <f t="shared" si="133"/>
        <v>4.9158200000000001</v>
      </c>
      <c r="AC51" s="64">
        <f t="shared" si="134"/>
        <v>14.220765</v>
      </c>
      <c r="AD51" s="64">
        <f t="shared" si="135"/>
        <v>5.2669499999999996</v>
      </c>
      <c r="AE51" s="64">
        <f t="shared" si="136"/>
        <v>1.580085</v>
      </c>
      <c r="AF51" s="64">
        <f t="shared" si="137"/>
        <v>0.26334750000000001</v>
      </c>
      <c r="AG51" s="65">
        <f t="shared" si="138"/>
        <v>148.98570000000001</v>
      </c>
      <c r="AH51" s="65">
        <f t="shared" si="139"/>
        <v>335.217825</v>
      </c>
      <c r="AI51" s="65">
        <f t="shared" si="140"/>
        <v>148.98570000000001</v>
      </c>
      <c r="AJ51" s="65">
        <f t="shared" si="141"/>
        <v>29.797139999999999</v>
      </c>
      <c r="AK51" s="65">
        <f t="shared" si="142"/>
        <v>4.9661900000000001</v>
      </c>
      <c r="AL51" s="66">
        <v>0.9</v>
      </c>
      <c r="AM51" s="66">
        <v>0.75</v>
      </c>
      <c r="AN51" s="66">
        <v>0.9</v>
      </c>
      <c r="AO51" s="66">
        <v>0.1</v>
      </c>
      <c r="AP51" s="66">
        <v>0.1</v>
      </c>
      <c r="AQ51" s="65">
        <f t="shared" si="143"/>
        <v>136.14124050000001</v>
      </c>
      <c r="AR51" s="65">
        <f t="shared" si="144"/>
        <v>254.31019125</v>
      </c>
      <c r="AS51" s="65">
        <f t="shared" si="145"/>
        <v>136.45725750000003</v>
      </c>
      <c r="AT51" s="65">
        <f t="shared" si="146"/>
        <v>3.0323834999999999</v>
      </c>
      <c r="AU51" s="65">
        <f t="shared" si="147"/>
        <v>0.50539725000000002</v>
      </c>
      <c r="AV51" s="65">
        <f t="shared" si="148"/>
        <v>15.126804499999992</v>
      </c>
      <c r="AW51" s="65">
        <f t="shared" si="149"/>
        <v>84.77006375000002</v>
      </c>
      <c r="AX51" s="65">
        <f t="shared" si="150"/>
        <v>15.161917499999987</v>
      </c>
      <c r="AY51" s="65">
        <f t="shared" si="151"/>
        <v>27.291451500000001</v>
      </c>
      <c r="AZ51" s="65">
        <f t="shared" si="152"/>
        <v>4.5485752500000007</v>
      </c>
      <c r="BA51" s="67">
        <f t="shared" si="153"/>
        <v>159.5196</v>
      </c>
      <c r="BB51" s="67">
        <f t="shared" si="154"/>
        <v>358.91910000000001</v>
      </c>
      <c r="BC51" s="67">
        <f t="shared" si="155"/>
        <v>159.5196</v>
      </c>
      <c r="BD51" s="68">
        <f t="shared" si="156"/>
        <v>31.903919999999999</v>
      </c>
      <c r="BE51" s="68">
        <f t="shared" si="157"/>
        <v>5.3173200000000005</v>
      </c>
      <c r="BF51" s="67">
        <f t="shared" si="158"/>
        <v>20.042624499999992</v>
      </c>
      <c r="BG51" s="67">
        <f t="shared" si="159"/>
        <v>98.99082875000002</v>
      </c>
      <c r="BH51" s="67">
        <f t="shared" si="160"/>
        <v>20.428867499999988</v>
      </c>
      <c r="BI51" s="68">
        <f t="shared" si="161"/>
        <v>28.871536500000001</v>
      </c>
      <c r="BJ51" s="68">
        <f t="shared" si="162"/>
        <v>4.8119227500000008</v>
      </c>
      <c r="BK51" s="67">
        <f t="shared" si="163"/>
        <v>139.47697550000001</v>
      </c>
      <c r="BL51" s="67">
        <f t="shared" si="164"/>
        <v>259.92827125000002</v>
      </c>
      <c r="BM51" s="67">
        <f t="shared" si="165"/>
        <v>139.09073250000003</v>
      </c>
      <c r="BN51" s="68">
        <f t="shared" si="166"/>
        <v>3.0323834999999999</v>
      </c>
      <c r="BO51" s="187">
        <f t="shared" si="167"/>
        <v>0.50539725000000002</v>
      </c>
      <c r="BP51" s="157"/>
      <c r="BQ51" s="148"/>
      <c r="BR51" s="148"/>
      <c r="BS51" s="148"/>
      <c r="BT51" s="148"/>
      <c r="BU51" s="148"/>
      <c r="BV51" s="151">
        <f>95840+16560+48800+58640+91600+94000+91200+31800</f>
        <v>528440</v>
      </c>
      <c r="BW51" s="150">
        <f t="shared" si="186"/>
        <v>554862</v>
      </c>
      <c r="BX51" s="150">
        <f t="shared" si="176"/>
        <v>637536.43999999994</v>
      </c>
      <c r="BY51" s="150">
        <f t="shared" si="177"/>
        <v>640086.59</v>
      </c>
      <c r="BZ51" s="155">
        <f t="shared" si="99"/>
        <v>654808.57999999996</v>
      </c>
      <c r="CA51" s="179">
        <f>BZ51+ROUND(BZ51*$BZ$6,2)+DH51</f>
        <v>2807941.7</v>
      </c>
      <c r="CB51" s="203">
        <f t="shared" si="168"/>
        <v>266754.46150000003</v>
      </c>
      <c r="CC51" s="198">
        <f t="shared" si="178"/>
        <v>2872524.3600000003</v>
      </c>
      <c r="CD51" s="206">
        <f t="shared" si="169"/>
        <v>272889.81420000002</v>
      </c>
      <c r="CE51" s="150">
        <f t="shared" si="179"/>
        <v>2938592.4200000004</v>
      </c>
      <c r="CF51" s="206">
        <f t="shared" si="170"/>
        <v>279166.27990000002</v>
      </c>
      <c r="CG51" s="150">
        <f t="shared" si="180"/>
        <v>3006180.0500000003</v>
      </c>
      <c r="CH51" s="206">
        <f t="shared" si="171"/>
        <v>285587.10475000006</v>
      </c>
      <c r="CI51" s="150">
        <f t="shared" si="181"/>
        <v>3075322.1900000004</v>
      </c>
      <c r="CJ51" s="206">
        <f t="shared" si="172"/>
        <v>292155.60805000004</v>
      </c>
      <c r="CK51" s="150">
        <f t="shared" si="182"/>
        <v>3146054.6000000006</v>
      </c>
      <c r="CL51" s="206">
        <f t="shared" si="173"/>
        <v>298875.18700000003</v>
      </c>
      <c r="CM51" s="150">
        <f t="shared" si="183"/>
        <v>3218413.8600000003</v>
      </c>
      <c r="CN51" s="150">
        <f t="shared" si="184"/>
        <v>3292437.3800000004</v>
      </c>
      <c r="CO51" s="157"/>
      <c r="CP51" s="148"/>
      <c r="CQ51" s="148"/>
      <c r="CR51" s="148"/>
      <c r="CS51" s="148"/>
      <c r="CT51" s="148"/>
      <c r="CU51" s="151">
        <f>28000+223200+22000+112000+22000</f>
        <v>407200</v>
      </c>
      <c r="CV51" s="150">
        <f t="shared" si="187"/>
        <v>427560</v>
      </c>
      <c r="CW51" s="150">
        <f t="shared" ref="CW51:DG51" si="205">CV51+ROUND(CV51*CW$6,2)</f>
        <v>491266.44</v>
      </c>
      <c r="CX51" s="150">
        <f t="shared" si="205"/>
        <v>493231.51</v>
      </c>
      <c r="CY51" s="150">
        <f t="shared" si="205"/>
        <v>504575.83</v>
      </c>
      <c r="CZ51" s="155">
        <f t="shared" si="205"/>
        <v>517190.23000000004</v>
      </c>
      <c r="DA51" s="155">
        <f t="shared" si="205"/>
        <v>530119.99</v>
      </c>
      <c r="DB51" s="155">
        <f t="shared" si="205"/>
        <v>543372.99</v>
      </c>
      <c r="DC51" s="155">
        <f t="shared" si="205"/>
        <v>556957.30999999994</v>
      </c>
      <c r="DD51" s="155">
        <f t="shared" si="205"/>
        <v>570881.24</v>
      </c>
      <c r="DE51" s="155">
        <f t="shared" si="205"/>
        <v>585153.27</v>
      </c>
      <c r="DF51" s="155">
        <f t="shared" si="205"/>
        <v>599782.1</v>
      </c>
      <c r="DG51" s="155">
        <f t="shared" si="205"/>
        <v>614776.65</v>
      </c>
      <c r="DH51" s="400">
        <f>DM28*'1.piel'!I50</f>
        <v>2138072.52</v>
      </c>
      <c r="DI51" s="243">
        <f>SUM(CA51,DH51)-DH51</f>
        <v>2807941.7000000007</v>
      </c>
      <c r="DJ51" s="248">
        <f t="shared" si="175"/>
        <v>1732.3595322740798</v>
      </c>
      <c r="DK51" s="382">
        <f>(CA51-DH51)/'1.piel'!M50</f>
        <v>1392.6594178794182</v>
      </c>
      <c r="DL51">
        <f>DH51/'1.piel'!G50</f>
        <v>339.70011439466157</v>
      </c>
    </row>
    <row r="52" spans="2:116" x14ac:dyDescent="0.25">
      <c r="B52" s="52">
        <v>38</v>
      </c>
      <c r="C52" s="53" t="s">
        <v>80</v>
      </c>
      <c r="D52" s="36" t="s">
        <v>265</v>
      </c>
      <c r="E52" s="110">
        <v>5335</v>
      </c>
      <c r="F52" s="178">
        <v>6094</v>
      </c>
      <c r="G52" s="36">
        <v>132</v>
      </c>
      <c r="H52" s="99">
        <f t="shared" si="114"/>
        <v>6226</v>
      </c>
      <c r="I52" s="94">
        <f t="shared" si="115"/>
        <v>0.79570068920249426</v>
      </c>
      <c r="J52" s="89">
        <v>4849</v>
      </c>
      <c r="K52" s="98">
        <f t="shared" si="116"/>
        <v>0.20429931079750574</v>
      </c>
      <c r="L52" s="99">
        <f t="shared" si="117"/>
        <v>1245</v>
      </c>
      <c r="M52" s="174">
        <f t="shared" si="118"/>
        <v>27.265499999999999</v>
      </c>
      <c r="N52" s="64">
        <f t="shared" si="119"/>
        <v>61.347375</v>
      </c>
      <c r="O52" s="64">
        <f t="shared" si="120"/>
        <v>27.265499999999999</v>
      </c>
      <c r="P52" s="64">
        <f t="shared" si="121"/>
        <v>5.4531000000000001</v>
      </c>
      <c r="Q52" s="64">
        <f t="shared" si="122"/>
        <v>0.90885000000000005</v>
      </c>
      <c r="R52" s="64">
        <f t="shared" si="123"/>
        <v>5.9075249999999997</v>
      </c>
      <c r="S52" s="64">
        <f t="shared" si="124"/>
        <v>9.9973500000000008</v>
      </c>
      <c r="T52" s="64">
        <f t="shared" si="125"/>
        <v>6.8163749999999999</v>
      </c>
      <c r="U52" s="64">
        <f t="shared" si="126"/>
        <v>1.363275</v>
      </c>
      <c r="V52" s="64">
        <f t="shared" si="127"/>
        <v>0.22721250000000001</v>
      </c>
      <c r="W52" s="64">
        <f t="shared" si="128"/>
        <v>8.6340749999999993</v>
      </c>
      <c r="X52" s="64">
        <f t="shared" si="129"/>
        <v>14.541600000000001</v>
      </c>
      <c r="Y52" s="64">
        <f t="shared" si="130"/>
        <v>6.8163749999999999</v>
      </c>
      <c r="Z52" s="64">
        <f t="shared" si="131"/>
        <v>0</v>
      </c>
      <c r="AA52" s="64">
        <f t="shared" si="132"/>
        <v>0</v>
      </c>
      <c r="AB52" s="64">
        <f t="shared" si="133"/>
        <v>12.7239</v>
      </c>
      <c r="AC52" s="64">
        <f t="shared" si="134"/>
        <v>36.808425</v>
      </c>
      <c r="AD52" s="64">
        <f t="shared" si="135"/>
        <v>13.63275</v>
      </c>
      <c r="AE52" s="64">
        <f t="shared" si="136"/>
        <v>4.0898250000000003</v>
      </c>
      <c r="AF52" s="64">
        <f t="shared" si="137"/>
        <v>0.68163750000000001</v>
      </c>
      <c r="AG52" s="65">
        <f t="shared" si="138"/>
        <v>109.0839</v>
      </c>
      <c r="AH52" s="65">
        <f t="shared" si="139"/>
        <v>245.43877499999999</v>
      </c>
      <c r="AI52" s="65">
        <f t="shared" si="140"/>
        <v>109.0839</v>
      </c>
      <c r="AJ52" s="65">
        <f t="shared" si="141"/>
        <v>21.816780000000001</v>
      </c>
      <c r="AK52" s="65">
        <f t="shared" si="142"/>
        <v>3.6361300000000001</v>
      </c>
      <c r="AL52" s="66">
        <v>0.9</v>
      </c>
      <c r="AM52" s="66">
        <v>0.75</v>
      </c>
      <c r="AN52" s="66">
        <v>0.9</v>
      </c>
      <c r="AO52" s="66">
        <v>0.1</v>
      </c>
      <c r="AP52" s="66">
        <v>0.1</v>
      </c>
      <c r="AQ52" s="65">
        <f t="shared" si="143"/>
        <v>103.4922825</v>
      </c>
      <c r="AR52" s="65">
        <f t="shared" si="144"/>
        <v>191.57709375000002</v>
      </c>
      <c r="AS52" s="65">
        <f t="shared" si="145"/>
        <v>104.3102475</v>
      </c>
      <c r="AT52" s="65">
        <f t="shared" si="146"/>
        <v>2.3180055000000004</v>
      </c>
      <c r="AU52" s="65">
        <f t="shared" si="147"/>
        <v>0.38633424999999999</v>
      </c>
      <c r="AV52" s="65">
        <f t="shared" si="148"/>
        <v>11.499142499999991</v>
      </c>
      <c r="AW52" s="65">
        <f t="shared" si="149"/>
        <v>63.859031249999987</v>
      </c>
      <c r="AX52" s="65">
        <f t="shared" si="150"/>
        <v>11.590027499999991</v>
      </c>
      <c r="AY52" s="65">
        <f t="shared" si="151"/>
        <v>20.862049500000001</v>
      </c>
      <c r="AZ52" s="65">
        <f t="shared" si="152"/>
        <v>3.4770082499999999</v>
      </c>
      <c r="BA52" s="67">
        <f t="shared" si="153"/>
        <v>136.3494</v>
      </c>
      <c r="BB52" s="67">
        <f t="shared" si="154"/>
        <v>306.78615000000002</v>
      </c>
      <c r="BC52" s="67">
        <f t="shared" si="155"/>
        <v>136.3494</v>
      </c>
      <c r="BD52" s="68">
        <f t="shared" si="156"/>
        <v>27.269880000000001</v>
      </c>
      <c r="BE52" s="68">
        <f t="shared" si="157"/>
        <v>4.5449799999999998</v>
      </c>
      <c r="BF52" s="67">
        <f t="shared" si="158"/>
        <v>24.223042499999991</v>
      </c>
      <c r="BG52" s="67">
        <f t="shared" si="159"/>
        <v>100.66745624999999</v>
      </c>
      <c r="BH52" s="67">
        <f t="shared" si="160"/>
        <v>25.222777499999992</v>
      </c>
      <c r="BI52" s="68">
        <f t="shared" si="161"/>
        <v>24.951874500000002</v>
      </c>
      <c r="BJ52" s="68">
        <f t="shared" si="162"/>
        <v>4.1586457499999998</v>
      </c>
      <c r="BK52" s="67">
        <f t="shared" si="163"/>
        <v>112.1263575</v>
      </c>
      <c r="BL52" s="67">
        <f t="shared" si="164"/>
        <v>206.11869375000001</v>
      </c>
      <c r="BM52" s="67">
        <f t="shared" si="165"/>
        <v>111.1266225</v>
      </c>
      <c r="BN52" s="68">
        <f t="shared" si="166"/>
        <v>2.3180055000000004</v>
      </c>
      <c r="BO52" s="187">
        <f t="shared" si="167"/>
        <v>0.38633424999999999</v>
      </c>
      <c r="BP52" s="157"/>
      <c r="BQ52" s="148"/>
      <c r="BR52" s="148"/>
      <c r="BS52" s="148"/>
      <c r="BT52" s="148"/>
      <c r="BU52" s="148"/>
      <c r="BV52" s="151">
        <f>180600+231000+233400+207000</f>
        <v>852000</v>
      </c>
      <c r="BW52" s="150">
        <f t="shared" si="186"/>
        <v>894600</v>
      </c>
      <c r="BX52" s="150">
        <f t="shared" si="176"/>
        <v>1027895.4</v>
      </c>
      <c r="BY52" s="150">
        <f t="shared" si="177"/>
        <v>1032006.98</v>
      </c>
      <c r="BZ52" s="155">
        <f t="shared" si="99"/>
        <v>1055743.1399999999</v>
      </c>
      <c r="CA52" s="179">
        <f t="shared" si="101"/>
        <v>1080025.23</v>
      </c>
      <c r="CB52" s="203">
        <f t="shared" si="168"/>
        <v>102602.39685</v>
      </c>
      <c r="CC52" s="198">
        <f t="shared" si="178"/>
        <v>1104865.81</v>
      </c>
      <c r="CD52" s="206">
        <f t="shared" si="169"/>
        <v>104962.25195000001</v>
      </c>
      <c r="CE52" s="150">
        <f t="shared" si="179"/>
        <v>1130277.72</v>
      </c>
      <c r="CF52" s="206">
        <f t="shared" si="170"/>
        <v>107376.38339999999</v>
      </c>
      <c r="CG52" s="150">
        <f t="shared" si="180"/>
        <v>1156274.1099999999</v>
      </c>
      <c r="CH52" s="206">
        <f t="shared" si="171"/>
        <v>109846.04044999999</v>
      </c>
      <c r="CI52" s="150">
        <f t="shared" si="181"/>
        <v>1182868.4099999999</v>
      </c>
      <c r="CJ52" s="206">
        <f t="shared" si="172"/>
        <v>112372.49894999999</v>
      </c>
      <c r="CK52" s="150">
        <f t="shared" si="182"/>
        <v>1210074.3799999999</v>
      </c>
      <c r="CL52" s="206">
        <f t="shared" si="173"/>
        <v>114957.0661</v>
      </c>
      <c r="CM52" s="150">
        <f t="shared" si="183"/>
        <v>1237906.0899999999</v>
      </c>
      <c r="CN52" s="150">
        <f t="shared" si="184"/>
        <v>1266377.93</v>
      </c>
      <c r="CO52" s="157"/>
      <c r="CP52" s="148"/>
      <c r="CQ52" s="148"/>
      <c r="CR52" s="148"/>
      <c r="CS52" s="148"/>
      <c r="CT52" s="148"/>
      <c r="CU52" s="151">
        <f>435200+36000</f>
        <v>471200</v>
      </c>
      <c r="CV52" s="150">
        <f t="shared" si="187"/>
        <v>494760</v>
      </c>
      <c r="CW52" s="150">
        <f t="shared" ref="CW52:DG52" si="206">CV52+ROUND(CV52*CW$6,2)</f>
        <v>568479.24</v>
      </c>
      <c r="CX52" s="150">
        <f t="shared" si="206"/>
        <v>570753.16</v>
      </c>
      <c r="CY52" s="150">
        <f t="shared" si="206"/>
        <v>583880.48</v>
      </c>
      <c r="CZ52" s="155">
        <f t="shared" si="206"/>
        <v>598477.49</v>
      </c>
      <c r="DA52" s="155">
        <f t="shared" si="206"/>
        <v>613439.42999999993</v>
      </c>
      <c r="DB52" s="155">
        <f t="shared" si="206"/>
        <v>628775.41999999993</v>
      </c>
      <c r="DC52" s="155">
        <f t="shared" si="206"/>
        <v>644494.80999999994</v>
      </c>
      <c r="DD52" s="155">
        <f t="shared" si="206"/>
        <v>660607.17999999993</v>
      </c>
      <c r="DE52" s="155">
        <f t="shared" si="206"/>
        <v>677122.36</v>
      </c>
      <c r="DF52" s="155">
        <f t="shared" si="206"/>
        <v>694050.42</v>
      </c>
      <c r="DG52" s="155">
        <f t="shared" si="206"/>
        <v>711401.68</v>
      </c>
      <c r="DH52" s="236">
        <v>0</v>
      </c>
      <c r="DI52" s="243">
        <f t="shared" si="199"/>
        <v>1080025.23</v>
      </c>
      <c r="DJ52" s="248">
        <f t="shared" si="175"/>
        <v>867.49014457831322</v>
      </c>
      <c r="DK52" s="382">
        <f>CA52/'1.piel'!M51</f>
        <v>867.49014457831322</v>
      </c>
      <c r="DL52">
        <f>DH52/'1.piel'!G51</f>
        <v>0</v>
      </c>
    </row>
    <row r="53" spans="2:116" x14ac:dyDescent="0.25">
      <c r="B53" s="52">
        <v>41</v>
      </c>
      <c r="C53" s="53" t="s">
        <v>83</v>
      </c>
      <c r="D53" s="36" t="s">
        <v>265</v>
      </c>
      <c r="E53" s="110">
        <v>3942</v>
      </c>
      <c r="F53" s="178">
        <v>3652</v>
      </c>
      <c r="G53" s="63">
        <v>37</v>
      </c>
      <c r="H53" s="99">
        <f t="shared" si="114"/>
        <v>3689</v>
      </c>
      <c r="I53" s="94">
        <f t="shared" si="115"/>
        <v>1</v>
      </c>
      <c r="J53" s="89">
        <v>3652</v>
      </c>
      <c r="K53" s="98">
        <f t="shared" si="116"/>
        <v>0</v>
      </c>
      <c r="L53" s="99">
        <f t="shared" si="117"/>
        <v>0</v>
      </c>
      <c r="M53" s="174">
        <f t="shared" si="118"/>
        <v>0</v>
      </c>
      <c r="N53" s="64">
        <f t="shared" si="119"/>
        <v>0</v>
      </c>
      <c r="O53" s="64">
        <f t="shared" si="120"/>
        <v>0</v>
      </c>
      <c r="P53" s="64">
        <f t="shared" si="121"/>
        <v>0</v>
      </c>
      <c r="Q53" s="64">
        <f t="shared" si="122"/>
        <v>0</v>
      </c>
      <c r="R53" s="64">
        <f t="shared" si="123"/>
        <v>0</v>
      </c>
      <c r="S53" s="64">
        <f t="shared" si="124"/>
        <v>0</v>
      </c>
      <c r="T53" s="64">
        <f t="shared" si="125"/>
        <v>0</v>
      </c>
      <c r="U53" s="64">
        <f t="shared" si="126"/>
        <v>0</v>
      </c>
      <c r="V53" s="64">
        <f t="shared" si="127"/>
        <v>0</v>
      </c>
      <c r="W53" s="64">
        <f t="shared" si="128"/>
        <v>0</v>
      </c>
      <c r="X53" s="64">
        <f t="shared" si="129"/>
        <v>0</v>
      </c>
      <c r="Y53" s="64">
        <f t="shared" si="130"/>
        <v>0</v>
      </c>
      <c r="Z53" s="64">
        <f t="shared" si="131"/>
        <v>0</v>
      </c>
      <c r="AA53" s="64">
        <f t="shared" si="132"/>
        <v>0</v>
      </c>
      <c r="AB53" s="64">
        <f t="shared" si="133"/>
        <v>0</v>
      </c>
      <c r="AC53" s="64">
        <f t="shared" si="134"/>
        <v>0</v>
      </c>
      <c r="AD53" s="64">
        <f t="shared" si="135"/>
        <v>0</v>
      </c>
      <c r="AE53" s="64">
        <f t="shared" si="136"/>
        <v>0</v>
      </c>
      <c r="AF53" s="64">
        <f t="shared" si="137"/>
        <v>0</v>
      </c>
      <c r="AG53" s="65">
        <f t="shared" si="138"/>
        <v>80.789100000000005</v>
      </c>
      <c r="AH53" s="65">
        <f t="shared" si="139"/>
        <v>181.775475</v>
      </c>
      <c r="AI53" s="65">
        <f t="shared" si="140"/>
        <v>80.789100000000005</v>
      </c>
      <c r="AJ53" s="65">
        <f t="shared" si="141"/>
        <v>16.157820000000001</v>
      </c>
      <c r="AK53" s="65">
        <f t="shared" si="142"/>
        <v>2.6929699999999999</v>
      </c>
      <c r="AL53" s="66">
        <v>0.9</v>
      </c>
      <c r="AM53" s="66">
        <v>0.75</v>
      </c>
      <c r="AN53" s="66">
        <v>0.9</v>
      </c>
      <c r="AO53" s="66">
        <v>0.1</v>
      </c>
      <c r="AP53" s="66">
        <v>0.1</v>
      </c>
      <c r="AQ53" s="65">
        <f t="shared" si="143"/>
        <v>72.710190000000011</v>
      </c>
      <c r="AR53" s="65">
        <f t="shared" si="144"/>
        <v>136.33160624999999</v>
      </c>
      <c r="AS53" s="65">
        <f t="shared" si="145"/>
        <v>72.710190000000011</v>
      </c>
      <c r="AT53" s="65">
        <f t="shared" si="146"/>
        <v>1.6157820000000003</v>
      </c>
      <c r="AU53" s="65">
        <f t="shared" si="147"/>
        <v>0.26929700000000001</v>
      </c>
      <c r="AV53" s="65">
        <f t="shared" si="148"/>
        <v>8.0789099999999934</v>
      </c>
      <c r="AW53" s="65">
        <f t="shared" si="149"/>
        <v>45.443868750000007</v>
      </c>
      <c r="AX53" s="65">
        <f t="shared" si="150"/>
        <v>8.0789099999999934</v>
      </c>
      <c r="AY53" s="65">
        <f t="shared" si="151"/>
        <v>14.542038000000002</v>
      </c>
      <c r="AZ53" s="65">
        <f t="shared" si="152"/>
        <v>2.423673</v>
      </c>
      <c r="BA53" s="67">
        <f t="shared" si="153"/>
        <v>80.789100000000005</v>
      </c>
      <c r="BB53" s="67">
        <f t="shared" si="154"/>
        <v>181.775475</v>
      </c>
      <c r="BC53" s="67">
        <f t="shared" si="155"/>
        <v>80.789100000000005</v>
      </c>
      <c r="BD53" s="68">
        <f t="shared" si="156"/>
        <v>16.157820000000001</v>
      </c>
      <c r="BE53" s="68">
        <f t="shared" si="157"/>
        <v>2.6929699999999999</v>
      </c>
      <c r="BF53" s="67">
        <f t="shared" si="158"/>
        <v>8.0789099999999934</v>
      </c>
      <c r="BG53" s="67">
        <f t="shared" si="159"/>
        <v>45.443868750000007</v>
      </c>
      <c r="BH53" s="67">
        <f t="shared" si="160"/>
        <v>8.0789099999999934</v>
      </c>
      <c r="BI53" s="68">
        <f t="shared" si="161"/>
        <v>14.542038000000002</v>
      </c>
      <c r="BJ53" s="68">
        <f t="shared" si="162"/>
        <v>2.423673</v>
      </c>
      <c r="BK53" s="67">
        <f t="shared" si="163"/>
        <v>72.710190000000011</v>
      </c>
      <c r="BL53" s="67">
        <f t="shared" si="164"/>
        <v>136.33160624999999</v>
      </c>
      <c r="BM53" s="67">
        <f t="shared" si="165"/>
        <v>72.710190000000011</v>
      </c>
      <c r="BN53" s="68">
        <f t="shared" si="166"/>
        <v>1.6157820000000003</v>
      </c>
      <c r="BO53" s="187">
        <f t="shared" si="167"/>
        <v>0.26929700000000001</v>
      </c>
      <c r="BP53" s="157"/>
      <c r="BQ53" s="148"/>
      <c r="BR53" s="148"/>
      <c r="BS53" s="148"/>
      <c r="BT53" s="148"/>
      <c r="BU53" s="148"/>
      <c r="BV53" s="151">
        <v>0</v>
      </c>
      <c r="BW53" s="150">
        <f t="shared" si="186"/>
        <v>0</v>
      </c>
      <c r="BX53" s="150">
        <f t="shared" si="176"/>
        <v>0</v>
      </c>
      <c r="BY53" s="150">
        <f t="shared" si="177"/>
        <v>0</v>
      </c>
      <c r="BZ53" s="155">
        <f t="shared" si="99"/>
        <v>0</v>
      </c>
      <c r="CA53" s="179">
        <f t="shared" si="101"/>
        <v>0</v>
      </c>
      <c r="CB53" s="203">
        <f t="shared" si="168"/>
        <v>0</v>
      </c>
      <c r="CC53" s="198">
        <f t="shared" si="178"/>
        <v>0</v>
      </c>
      <c r="CD53" s="206">
        <f t="shared" si="169"/>
        <v>0</v>
      </c>
      <c r="CE53" s="150">
        <f t="shared" si="179"/>
        <v>0</v>
      </c>
      <c r="CF53" s="206">
        <f t="shared" si="170"/>
        <v>0</v>
      </c>
      <c r="CG53" s="150">
        <f t="shared" si="180"/>
        <v>0</v>
      </c>
      <c r="CH53" s="206">
        <f t="shared" si="171"/>
        <v>0</v>
      </c>
      <c r="CI53" s="150">
        <f t="shared" si="181"/>
        <v>0</v>
      </c>
      <c r="CJ53" s="206">
        <f t="shared" si="172"/>
        <v>0</v>
      </c>
      <c r="CK53" s="150">
        <f t="shared" si="182"/>
        <v>0</v>
      </c>
      <c r="CL53" s="206">
        <f t="shared" si="173"/>
        <v>0</v>
      </c>
      <c r="CM53" s="150">
        <f t="shared" si="183"/>
        <v>0</v>
      </c>
      <c r="CN53" s="150">
        <f t="shared" si="184"/>
        <v>0</v>
      </c>
      <c r="CO53" s="157"/>
      <c r="CP53" s="148"/>
      <c r="CQ53" s="148"/>
      <c r="CR53" s="148"/>
      <c r="CS53" s="148"/>
      <c r="CT53" s="148"/>
      <c r="CU53" s="151">
        <v>70000</v>
      </c>
      <c r="CV53" s="150">
        <f t="shared" si="187"/>
        <v>73500</v>
      </c>
      <c r="CW53" s="150">
        <f t="shared" ref="CW53:DG53" si="207">CV53+ROUND(CV53*CW$6,2)</f>
        <v>84451.5</v>
      </c>
      <c r="CX53" s="150">
        <f t="shared" si="207"/>
        <v>84789.31</v>
      </c>
      <c r="CY53" s="150">
        <f t="shared" si="207"/>
        <v>86739.459999999992</v>
      </c>
      <c r="CZ53" s="155">
        <f t="shared" si="207"/>
        <v>88907.95</v>
      </c>
      <c r="DA53" s="155">
        <f t="shared" si="207"/>
        <v>91130.65</v>
      </c>
      <c r="DB53" s="155">
        <f t="shared" si="207"/>
        <v>93408.92</v>
      </c>
      <c r="DC53" s="155">
        <f t="shared" si="207"/>
        <v>95744.14</v>
      </c>
      <c r="DD53" s="155">
        <f t="shared" si="207"/>
        <v>98137.74</v>
      </c>
      <c r="DE53" s="155">
        <f t="shared" si="207"/>
        <v>100591.18000000001</v>
      </c>
      <c r="DF53" s="155">
        <f t="shared" si="207"/>
        <v>103105.96</v>
      </c>
      <c r="DG53" s="155">
        <f t="shared" si="207"/>
        <v>105683.61</v>
      </c>
      <c r="DH53" s="236">
        <v>0</v>
      </c>
      <c r="DI53" s="243">
        <f t="shared" si="199"/>
        <v>0</v>
      </c>
      <c r="DJ53" s="248">
        <f t="shared" si="175"/>
        <v>0</v>
      </c>
      <c r="DK53" s="382">
        <v>0</v>
      </c>
      <c r="DL53">
        <f>DH53/'1.piel'!G52</f>
        <v>0</v>
      </c>
    </row>
    <row r="54" spans="2:116" x14ac:dyDescent="0.25">
      <c r="B54" s="52">
        <v>46</v>
      </c>
      <c r="C54" s="53" t="s">
        <v>91</v>
      </c>
      <c r="D54" s="36" t="s">
        <v>265</v>
      </c>
      <c r="E54" s="110">
        <v>3534</v>
      </c>
      <c r="F54" s="178">
        <v>4060</v>
      </c>
      <c r="G54" s="36">
        <v>307</v>
      </c>
      <c r="H54" s="99">
        <f t="shared" si="114"/>
        <v>4367</v>
      </c>
      <c r="I54" s="94">
        <f t="shared" si="115"/>
        <v>1</v>
      </c>
      <c r="J54" s="89">
        <v>4060</v>
      </c>
      <c r="K54" s="98">
        <f t="shared" si="116"/>
        <v>0</v>
      </c>
      <c r="L54" s="99">
        <f t="shared" si="117"/>
        <v>0</v>
      </c>
      <c r="M54" s="174">
        <f t="shared" si="118"/>
        <v>0</v>
      </c>
      <c r="N54" s="64">
        <f t="shared" si="119"/>
        <v>0</v>
      </c>
      <c r="O54" s="64">
        <f t="shared" si="120"/>
        <v>0</v>
      </c>
      <c r="P54" s="64">
        <f t="shared" si="121"/>
        <v>0</v>
      </c>
      <c r="Q54" s="64">
        <f t="shared" si="122"/>
        <v>0</v>
      </c>
      <c r="R54" s="64">
        <f t="shared" si="123"/>
        <v>0</v>
      </c>
      <c r="S54" s="64">
        <f t="shared" si="124"/>
        <v>0</v>
      </c>
      <c r="T54" s="64">
        <f t="shared" si="125"/>
        <v>0</v>
      </c>
      <c r="U54" s="64">
        <f t="shared" si="126"/>
        <v>0</v>
      </c>
      <c r="V54" s="64">
        <f t="shared" si="127"/>
        <v>0</v>
      </c>
      <c r="W54" s="64">
        <f t="shared" si="128"/>
        <v>0</v>
      </c>
      <c r="X54" s="64">
        <f t="shared" si="129"/>
        <v>0</v>
      </c>
      <c r="Y54" s="64">
        <f t="shared" si="130"/>
        <v>0</v>
      </c>
      <c r="Z54" s="64">
        <f t="shared" si="131"/>
        <v>0</v>
      </c>
      <c r="AA54" s="64">
        <f t="shared" si="132"/>
        <v>0</v>
      </c>
      <c r="AB54" s="64">
        <f t="shared" si="133"/>
        <v>0</v>
      </c>
      <c r="AC54" s="64">
        <f t="shared" si="134"/>
        <v>0</v>
      </c>
      <c r="AD54" s="64">
        <f t="shared" si="135"/>
        <v>0</v>
      </c>
      <c r="AE54" s="64">
        <f t="shared" si="136"/>
        <v>0</v>
      </c>
      <c r="AF54" s="64">
        <f t="shared" si="137"/>
        <v>0</v>
      </c>
      <c r="AG54" s="65">
        <f t="shared" si="138"/>
        <v>95.637299999999996</v>
      </c>
      <c r="AH54" s="65">
        <f t="shared" si="139"/>
        <v>215.18392499999999</v>
      </c>
      <c r="AI54" s="65">
        <f t="shared" si="140"/>
        <v>95.637299999999996</v>
      </c>
      <c r="AJ54" s="65">
        <f t="shared" si="141"/>
        <v>19.127459999999999</v>
      </c>
      <c r="AK54" s="65">
        <f t="shared" si="142"/>
        <v>3.18791</v>
      </c>
      <c r="AL54" s="66">
        <v>0.9</v>
      </c>
      <c r="AM54" s="66">
        <v>0.75</v>
      </c>
      <c r="AN54" s="66">
        <v>0.9</v>
      </c>
      <c r="AO54" s="66">
        <v>0.1</v>
      </c>
      <c r="AP54" s="66">
        <v>0.1</v>
      </c>
      <c r="AQ54" s="65">
        <f t="shared" si="143"/>
        <v>86.073570000000004</v>
      </c>
      <c r="AR54" s="65">
        <f t="shared" si="144"/>
        <v>161.38794374999998</v>
      </c>
      <c r="AS54" s="65">
        <f t="shared" si="145"/>
        <v>86.073570000000004</v>
      </c>
      <c r="AT54" s="65">
        <f t="shared" si="146"/>
        <v>1.9127460000000001</v>
      </c>
      <c r="AU54" s="65">
        <f t="shared" si="147"/>
        <v>0.31879100000000005</v>
      </c>
      <c r="AV54" s="65">
        <f t="shared" si="148"/>
        <v>9.5637299999999925</v>
      </c>
      <c r="AW54" s="65">
        <f t="shared" si="149"/>
        <v>53.795981250000011</v>
      </c>
      <c r="AX54" s="65">
        <f t="shared" si="150"/>
        <v>9.5637299999999925</v>
      </c>
      <c r="AY54" s="65">
        <f t="shared" si="151"/>
        <v>17.214714000000001</v>
      </c>
      <c r="AZ54" s="65">
        <f t="shared" si="152"/>
        <v>2.869119</v>
      </c>
      <c r="BA54" s="67">
        <f t="shared" si="153"/>
        <v>95.637299999999996</v>
      </c>
      <c r="BB54" s="67">
        <f t="shared" si="154"/>
        <v>215.18392499999999</v>
      </c>
      <c r="BC54" s="67">
        <f t="shared" si="155"/>
        <v>95.637299999999996</v>
      </c>
      <c r="BD54" s="68">
        <f t="shared" si="156"/>
        <v>19.127459999999999</v>
      </c>
      <c r="BE54" s="68">
        <f t="shared" si="157"/>
        <v>3.18791</v>
      </c>
      <c r="BF54" s="67">
        <f t="shared" si="158"/>
        <v>9.5637299999999925</v>
      </c>
      <c r="BG54" s="67">
        <f t="shared" si="159"/>
        <v>53.795981250000011</v>
      </c>
      <c r="BH54" s="67">
        <f t="shared" si="160"/>
        <v>9.5637299999999925</v>
      </c>
      <c r="BI54" s="68">
        <f t="shared" si="161"/>
        <v>17.214714000000001</v>
      </c>
      <c r="BJ54" s="68">
        <f t="shared" si="162"/>
        <v>2.869119</v>
      </c>
      <c r="BK54" s="67">
        <f t="shared" si="163"/>
        <v>86.073570000000004</v>
      </c>
      <c r="BL54" s="67">
        <f t="shared" si="164"/>
        <v>161.38794374999998</v>
      </c>
      <c r="BM54" s="67">
        <f t="shared" si="165"/>
        <v>86.073570000000004</v>
      </c>
      <c r="BN54" s="68">
        <f t="shared" si="166"/>
        <v>1.9127460000000001</v>
      </c>
      <c r="BO54" s="187">
        <f t="shared" si="167"/>
        <v>0.31879100000000005</v>
      </c>
      <c r="BP54" s="157"/>
      <c r="BQ54" s="148"/>
      <c r="BR54" s="148"/>
      <c r="BS54" s="148"/>
      <c r="BT54" s="148"/>
      <c r="BU54" s="148"/>
      <c r="BV54" s="151">
        <v>0</v>
      </c>
      <c r="BW54" s="150">
        <f t="shared" si="186"/>
        <v>0</v>
      </c>
      <c r="BX54" s="150">
        <f t="shared" si="176"/>
        <v>0</v>
      </c>
      <c r="BY54" s="150">
        <f t="shared" si="177"/>
        <v>0</v>
      </c>
      <c r="BZ54" s="155">
        <f t="shared" si="99"/>
        <v>0</v>
      </c>
      <c r="CA54" s="179">
        <f t="shared" si="101"/>
        <v>0</v>
      </c>
      <c r="CB54" s="203">
        <f t="shared" si="168"/>
        <v>0</v>
      </c>
      <c r="CC54" s="198">
        <f t="shared" si="178"/>
        <v>0</v>
      </c>
      <c r="CD54" s="206">
        <f t="shared" si="169"/>
        <v>0</v>
      </c>
      <c r="CE54" s="150">
        <f t="shared" si="179"/>
        <v>0</v>
      </c>
      <c r="CF54" s="206">
        <f t="shared" si="170"/>
        <v>0</v>
      </c>
      <c r="CG54" s="150">
        <f t="shared" si="180"/>
        <v>0</v>
      </c>
      <c r="CH54" s="206">
        <f t="shared" si="171"/>
        <v>0</v>
      </c>
      <c r="CI54" s="150">
        <f t="shared" si="181"/>
        <v>0</v>
      </c>
      <c r="CJ54" s="206">
        <f t="shared" si="172"/>
        <v>0</v>
      </c>
      <c r="CK54" s="150">
        <f t="shared" si="182"/>
        <v>0</v>
      </c>
      <c r="CL54" s="206">
        <f t="shared" si="173"/>
        <v>0</v>
      </c>
      <c r="CM54" s="150">
        <f t="shared" si="183"/>
        <v>0</v>
      </c>
      <c r="CN54" s="150">
        <f t="shared" si="184"/>
        <v>0</v>
      </c>
      <c r="CO54" s="157"/>
      <c r="CP54" s="148"/>
      <c r="CQ54" s="148"/>
      <c r="CR54" s="148"/>
      <c r="CS54" s="148"/>
      <c r="CT54" s="148"/>
      <c r="CU54" s="151">
        <v>0</v>
      </c>
      <c r="CV54" s="150">
        <f t="shared" si="187"/>
        <v>0</v>
      </c>
      <c r="CW54" s="150">
        <f t="shared" ref="CW54:DG54" si="208">CV54+ROUND(CV54*CW$6,2)</f>
        <v>0</v>
      </c>
      <c r="CX54" s="150">
        <f t="shared" si="208"/>
        <v>0</v>
      </c>
      <c r="CY54" s="150">
        <f t="shared" si="208"/>
        <v>0</v>
      </c>
      <c r="CZ54" s="155">
        <f t="shared" si="208"/>
        <v>0</v>
      </c>
      <c r="DA54" s="155">
        <f t="shared" si="208"/>
        <v>0</v>
      </c>
      <c r="DB54" s="155">
        <f t="shared" si="208"/>
        <v>0</v>
      </c>
      <c r="DC54" s="155">
        <f t="shared" si="208"/>
        <v>0</v>
      </c>
      <c r="DD54" s="155">
        <f t="shared" si="208"/>
        <v>0</v>
      </c>
      <c r="DE54" s="155">
        <f t="shared" si="208"/>
        <v>0</v>
      </c>
      <c r="DF54" s="155">
        <f t="shared" si="208"/>
        <v>0</v>
      </c>
      <c r="DG54" s="155">
        <f t="shared" si="208"/>
        <v>0</v>
      </c>
      <c r="DH54" s="236">
        <v>0</v>
      </c>
      <c r="DI54" s="243">
        <f t="shared" si="199"/>
        <v>0</v>
      </c>
      <c r="DJ54" s="248">
        <f t="shared" si="175"/>
        <v>0</v>
      </c>
      <c r="DK54" s="382">
        <v>0</v>
      </c>
      <c r="DL54">
        <f>DH54/'1.piel'!G53</f>
        <v>0</v>
      </c>
    </row>
    <row r="55" spans="2:116" x14ac:dyDescent="0.25">
      <c r="B55" s="52">
        <v>51</v>
      </c>
      <c r="C55" s="53" t="s">
        <v>93</v>
      </c>
      <c r="D55" s="36" t="s">
        <v>265</v>
      </c>
      <c r="E55" s="110">
        <v>3088</v>
      </c>
      <c r="F55" s="178">
        <v>3373</v>
      </c>
      <c r="G55" s="36">
        <v>38</v>
      </c>
      <c r="H55" s="99">
        <f t="shared" si="114"/>
        <v>3411</v>
      </c>
      <c r="I55" s="94">
        <f t="shared" si="115"/>
        <v>0.52683071449747998</v>
      </c>
      <c r="J55" s="89">
        <v>1777</v>
      </c>
      <c r="K55" s="98">
        <f t="shared" si="116"/>
        <v>0.47316928550252002</v>
      </c>
      <c r="L55" s="99">
        <f t="shared" si="117"/>
        <v>1596</v>
      </c>
      <c r="M55" s="174">
        <f t="shared" si="118"/>
        <v>34.952399999999997</v>
      </c>
      <c r="N55" s="64">
        <f t="shared" si="119"/>
        <v>78.642899999999997</v>
      </c>
      <c r="O55" s="64">
        <f t="shared" si="120"/>
        <v>34.952399999999997</v>
      </c>
      <c r="P55" s="64">
        <f t="shared" si="121"/>
        <v>6.9904799999999998</v>
      </c>
      <c r="Q55" s="64">
        <f t="shared" si="122"/>
        <v>1.1650799999999999</v>
      </c>
      <c r="R55" s="64">
        <f t="shared" si="123"/>
        <v>7.5730199999999996</v>
      </c>
      <c r="S55" s="64">
        <f t="shared" si="124"/>
        <v>12.81588</v>
      </c>
      <c r="T55" s="64">
        <f t="shared" si="125"/>
        <v>8.7380999999999993</v>
      </c>
      <c r="U55" s="64">
        <f t="shared" si="126"/>
        <v>1.74762</v>
      </c>
      <c r="V55" s="64">
        <f t="shared" si="127"/>
        <v>0.29126999999999997</v>
      </c>
      <c r="W55" s="64">
        <f t="shared" si="128"/>
        <v>11.06826</v>
      </c>
      <c r="X55" s="64">
        <f t="shared" si="129"/>
        <v>18.641279999999998</v>
      </c>
      <c r="Y55" s="64">
        <f t="shared" si="130"/>
        <v>8.7380999999999993</v>
      </c>
      <c r="Z55" s="64">
        <f t="shared" si="131"/>
        <v>0</v>
      </c>
      <c r="AA55" s="64">
        <f t="shared" si="132"/>
        <v>0</v>
      </c>
      <c r="AB55" s="64">
        <f t="shared" si="133"/>
        <v>16.311119999999999</v>
      </c>
      <c r="AC55" s="64">
        <f t="shared" si="134"/>
        <v>47.185740000000003</v>
      </c>
      <c r="AD55" s="64">
        <f t="shared" si="135"/>
        <v>17.476199999999999</v>
      </c>
      <c r="AE55" s="64">
        <f t="shared" si="136"/>
        <v>5.2428600000000003</v>
      </c>
      <c r="AF55" s="64">
        <f t="shared" si="137"/>
        <v>0.87380999999999998</v>
      </c>
      <c r="AG55" s="65">
        <f t="shared" si="138"/>
        <v>39.7485</v>
      </c>
      <c r="AH55" s="65">
        <f t="shared" si="139"/>
        <v>89.434124999999995</v>
      </c>
      <c r="AI55" s="65">
        <f t="shared" si="140"/>
        <v>39.7485</v>
      </c>
      <c r="AJ55" s="65">
        <f t="shared" si="141"/>
        <v>7.9497</v>
      </c>
      <c r="AK55" s="65">
        <f t="shared" si="142"/>
        <v>1.3249500000000001</v>
      </c>
      <c r="AL55" s="66">
        <v>0.9</v>
      </c>
      <c r="AM55" s="66">
        <v>0.75</v>
      </c>
      <c r="AN55" s="66">
        <v>0.9</v>
      </c>
      <c r="AO55" s="66">
        <v>0.1</v>
      </c>
      <c r="AP55" s="66">
        <v>0.1</v>
      </c>
      <c r="AQ55" s="65">
        <f t="shared" si="143"/>
        <v>42.589368</v>
      </c>
      <c r="AR55" s="65">
        <f t="shared" si="144"/>
        <v>76.687503749999991</v>
      </c>
      <c r="AS55" s="65">
        <f t="shared" si="145"/>
        <v>43.63794</v>
      </c>
      <c r="AT55" s="65">
        <f t="shared" si="146"/>
        <v>0.96973200000000004</v>
      </c>
      <c r="AU55" s="65">
        <f t="shared" si="147"/>
        <v>0.16162200000000002</v>
      </c>
      <c r="AV55" s="65">
        <f t="shared" si="148"/>
        <v>4.7321519999999992</v>
      </c>
      <c r="AW55" s="65">
        <f t="shared" si="149"/>
        <v>25.562501249999997</v>
      </c>
      <c r="AX55" s="65">
        <f t="shared" si="150"/>
        <v>4.8486599999999953</v>
      </c>
      <c r="AY55" s="65">
        <f t="shared" si="151"/>
        <v>8.727587999999999</v>
      </c>
      <c r="AZ55" s="65">
        <f t="shared" si="152"/>
        <v>1.4545980000000001</v>
      </c>
      <c r="BA55" s="67">
        <f t="shared" si="153"/>
        <v>74.70089999999999</v>
      </c>
      <c r="BB55" s="67">
        <f t="shared" si="154"/>
        <v>168.07702499999999</v>
      </c>
      <c r="BC55" s="67">
        <f t="shared" si="155"/>
        <v>74.70089999999999</v>
      </c>
      <c r="BD55" s="68">
        <f t="shared" si="156"/>
        <v>14.94018</v>
      </c>
      <c r="BE55" s="68">
        <f t="shared" si="157"/>
        <v>2.49003</v>
      </c>
      <c r="BF55" s="67">
        <f t="shared" si="158"/>
        <v>21.043271999999998</v>
      </c>
      <c r="BG55" s="67">
        <f t="shared" si="159"/>
        <v>72.748241250000007</v>
      </c>
      <c r="BH55" s="67">
        <f t="shared" si="160"/>
        <v>22.324859999999994</v>
      </c>
      <c r="BI55" s="68">
        <f t="shared" si="161"/>
        <v>13.970447999999999</v>
      </c>
      <c r="BJ55" s="68">
        <f t="shared" si="162"/>
        <v>2.328408</v>
      </c>
      <c r="BK55" s="67">
        <f t="shared" si="163"/>
        <v>53.657628000000003</v>
      </c>
      <c r="BL55" s="67">
        <f t="shared" si="164"/>
        <v>95.328783749999985</v>
      </c>
      <c r="BM55" s="67">
        <f t="shared" si="165"/>
        <v>52.376040000000003</v>
      </c>
      <c r="BN55" s="68">
        <f t="shared" si="166"/>
        <v>0.96973200000000004</v>
      </c>
      <c r="BO55" s="187">
        <f t="shared" si="167"/>
        <v>0.16162200000000002</v>
      </c>
      <c r="BP55" s="157"/>
      <c r="BQ55" s="148"/>
      <c r="BR55" s="148"/>
      <c r="BS55" s="148"/>
      <c r="BT55" s="151">
        <v>1483200</v>
      </c>
      <c r="BU55" s="150">
        <f>BT55+ROUND(BT55*$BU$6,2)</f>
        <v>1357128</v>
      </c>
      <c r="BV55" s="150">
        <f>BU55+ROUND(BU55*$BV$6,2)</f>
        <v>1215986.69</v>
      </c>
      <c r="BW55" s="150">
        <f t="shared" si="186"/>
        <v>1276786.02</v>
      </c>
      <c r="BX55" s="150">
        <f t="shared" si="176"/>
        <v>1467027.1400000001</v>
      </c>
      <c r="BY55" s="150">
        <f t="shared" si="177"/>
        <v>1472895.2500000002</v>
      </c>
      <c r="BZ55" s="155">
        <f t="shared" si="99"/>
        <v>1506771.8400000003</v>
      </c>
      <c r="CA55" s="179">
        <f t="shared" si="101"/>
        <v>1541427.5900000003</v>
      </c>
      <c r="CB55" s="203">
        <f t="shared" si="168"/>
        <v>146435.62105000005</v>
      </c>
      <c r="CC55" s="198">
        <f t="shared" si="178"/>
        <v>1576880.4200000004</v>
      </c>
      <c r="CD55" s="206">
        <f t="shared" si="169"/>
        <v>149803.63990000004</v>
      </c>
      <c r="CE55" s="150">
        <f t="shared" si="179"/>
        <v>1613148.6700000004</v>
      </c>
      <c r="CF55" s="206">
        <f t="shared" si="170"/>
        <v>153249.12365000005</v>
      </c>
      <c r="CG55" s="150">
        <f t="shared" si="180"/>
        <v>1650251.0900000003</v>
      </c>
      <c r="CH55" s="206">
        <f t="shared" si="171"/>
        <v>156773.85355000003</v>
      </c>
      <c r="CI55" s="150">
        <f t="shared" si="181"/>
        <v>1688206.8700000003</v>
      </c>
      <c r="CJ55" s="206">
        <f t="shared" si="172"/>
        <v>160379.65265000003</v>
      </c>
      <c r="CK55" s="150">
        <f t="shared" si="182"/>
        <v>1727035.6300000004</v>
      </c>
      <c r="CL55" s="206">
        <f t="shared" si="173"/>
        <v>164068.38485000003</v>
      </c>
      <c r="CM55" s="150">
        <f t="shared" si="183"/>
        <v>1766757.4500000004</v>
      </c>
      <c r="CN55" s="150">
        <f t="shared" si="184"/>
        <v>1807392.8700000003</v>
      </c>
      <c r="CO55" s="157"/>
      <c r="CP55" s="148"/>
      <c r="CQ55" s="148"/>
      <c r="CR55" s="148"/>
      <c r="CS55" s="151">
        <v>56000</v>
      </c>
      <c r="CT55" s="150">
        <f>CS55+ROUND(CS55*CT$6,2)</f>
        <v>51240</v>
      </c>
      <c r="CU55" s="150">
        <f>CT55+ROUND(CT55*CU$6,2)</f>
        <v>45911.040000000001</v>
      </c>
      <c r="CV55" s="150">
        <f t="shared" si="187"/>
        <v>48206.590000000004</v>
      </c>
      <c r="CW55" s="150">
        <f t="shared" ref="CW55:DG55" si="209">CV55+ROUND(CV55*CW$6,2)</f>
        <v>55389.37</v>
      </c>
      <c r="CX55" s="150">
        <f t="shared" si="209"/>
        <v>55610.93</v>
      </c>
      <c r="CY55" s="150">
        <f t="shared" si="209"/>
        <v>56889.98</v>
      </c>
      <c r="CZ55" s="155">
        <f t="shared" si="209"/>
        <v>58312.23</v>
      </c>
      <c r="DA55" s="155">
        <f t="shared" si="209"/>
        <v>59770.04</v>
      </c>
      <c r="DB55" s="155">
        <f t="shared" si="209"/>
        <v>61264.29</v>
      </c>
      <c r="DC55" s="155">
        <f t="shared" si="209"/>
        <v>62795.9</v>
      </c>
      <c r="DD55" s="155">
        <f t="shared" si="209"/>
        <v>64365.8</v>
      </c>
      <c r="DE55" s="155">
        <f t="shared" si="209"/>
        <v>65974.95</v>
      </c>
      <c r="DF55" s="155">
        <f t="shared" si="209"/>
        <v>67624.319999999992</v>
      </c>
      <c r="DG55" s="155">
        <f t="shared" si="209"/>
        <v>69314.929999999993</v>
      </c>
      <c r="DH55" s="236">
        <v>0</v>
      </c>
      <c r="DI55" s="243">
        <f t="shared" si="199"/>
        <v>1541427.5900000003</v>
      </c>
      <c r="DJ55" s="248">
        <f t="shared" si="175"/>
        <v>965.80676065162925</v>
      </c>
      <c r="DK55" s="382">
        <f>CA55/'1.piel'!M54</f>
        <v>965.80676065162925</v>
      </c>
      <c r="DL55">
        <f>DH55/'1.piel'!G54</f>
        <v>0</v>
      </c>
    </row>
    <row r="56" spans="2:116" x14ac:dyDescent="0.25">
      <c r="B56" s="52">
        <v>63</v>
      </c>
      <c r="C56" s="53" t="s">
        <v>101</v>
      </c>
      <c r="D56" s="35" t="s">
        <v>265</v>
      </c>
      <c r="E56" s="110">
        <v>2418</v>
      </c>
      <c r="F56" s="178">
        <v>2275</v>
      </c>
      <c r="G56" s="36">
        <v>0</v>
      </c>
      <c r="H56" s="99">
        <f t="shared" si="114"/>
        <v>2275</v>
      </c>
      <c r="I56" s="94">
        <f t="shared" si="115"/>
        <v>1</v>
      </c>
      <c r="J56" s="89">
        <v>2275</v>
      </c>
      <c r="K56" s="98">
        <f t="shared" si="116"/>
        <v>0</v>
      </c>
      <c r="L56" s="99">
        <f t="shared" si="117"/>
        <v>0</v>
      </c>
      <c r="M56" s="174">
        <f t="shared" si="118"/>
        <v>0</v>
      </c>
      <c r="N56" s="64">
        <f t="shared" si="119"/>
        <v>0</v>
      </c>
      <c r="O56" s="64">
        <f t="shared" si="120"/>
        <v>0</v>
      </c>
      <c r="P56" s="64">
        <f t="shared" si="121"/>
        <v>0</v>
      </c>
      <c r="Q56" s="64">
        <f t="shared" si="122"/>
        <v>0</v>
      </c>
      <c r="R56" s="64">
        <f t="shared" si="123"/>
        <v>0</v>
      </c>
      <c r="S56" s="64">
        <f t="shared" si="124"/>
        <v>0</v>
      </c>
      <c r="T56" s="64">
        <f t="shared" si="125"/>
        <v>0</v>
      </c>
      <c r="U56" s="64">
        <f t="shared" si="126"/>
        <v>0</v>
      </c>
      <c r="V56" s="64">
        <f t="shared" si="127"/>
        <v>0</v>
      </c>
      <c r="W56" s="64">
        <f t="shared" si="128"/>
        <v>0</v>
      </c>
      <c r="X56" s="64">
        <f t="shared" si="129"/>
        <v>0</v>
      </c>
      <c r="Y56" s="64">
        <f t="shared" si="130"/>
        <v>0</v>
      </c>
      <c r="Z56" s="64">
        <f t="shared" si="131"/>
        <v>0</v>
      </c>
      <c r="AA56" s="64">
        <f t="shared" si="132"/>
        <v>0</v>
      </c>
      <c r="AB56" s="64">
        <f t="shared" si="133"/>
        <v>0</v>
      </c>
      <c r="AC56" s="64">
        <f t="shared" si="134"/>
        <v>0</v>
      </c>
      <c r="AD56" s="64">
        <f t="shared" si="135"/>
        <v>0</v>
      </c>
      <c r="AE56" s="64">
        <f t="shared" si="136"/>
        <v>0</v>
      </c>
      <c r="AF56" s="64">
        <f t="shared" si="137"/>
        <v>0</v>
      </c>
      <c r="AG56" s="65">
        <f t="shared" si="138"/>
        <v>49.822499999999998</v>
      </c>
      <c r="AH56" s="65">
        <f t="shared" si="139"/>
        <v>112.10062499999999</v>
      </c>
      <c r="AI56" s="65">
        <f t="shared" si="140"/>
        <v>49.822499999999998</v>
      </c>
      <c r="AJ56" s="65">
        <f t="shared" si="141"/>
        <v>9.9644999999999992</v>
      </c>
      <c r="AK56" s="65">
        <f t="shared" si="142"/>
        <v>1.6607499999999999</v>
      </c>
      <c r="AL56" s="66">
        <v>0.9</v>
      </c>
      <c r="AM56" s="66">
        <v>0.75</v>
      </c>
      <c r="AN56" s="66">
        <v>0.9</v>
      </c>
      <c r="AO56" s="66">
        <v>0.1</v>
      </c>
      <c r="AP56" s="66">
        <v>0.1</v>
      </c>
      <c r="AQ56" s="65">
        <f t="shared" si="143"/>
        <v>44.840249999999997</v>
      </c>
      <c r="AR56" s="65">
        <f t="shared" si="144"/>
        <v>84.075468749999999</v>
      </c>
      <c r="AS56" s="65">
        <f t="shared" si="145"/>
        <v>44.840249999999997</v>
      </c>
      <c r="AT56" s="65">
        <f t="shared" si="146"/>
        <v>0.99644999999999995</v>
      </c>
      <c r="AU56" s="65">
        <f t="shared" si="147"/>
        <v>0.166075</v>
      </c>
      <c r="AV56" s="65">
        <f t="shared" si="148"/>
        <v>4.9822500000000005</v>
      </c>
      <c r="AW56" s="65">
        <f t="shared" si="149"/>
        <v>28.025156249999995</v>
      </c>
      <c r="AX56" s="65">
        <f t="shared" si="150"/>
        <v>4.9822500000000005</v>
      </c>
      <c r="AY56" s="65">
        <f t="shared" si="151"/>
        <v>8.9680499999999999</v>
      </c>
      <c r="AZ56" s="65">
        <f t="shared" si="152"/>
        <v>1.494675</v>
      </c>
      <c r="BA56" s="67">
        <f t="shared" si="153"/>
        <v>49.822499999999998</v>
      </c>
      <c r="BB56" s="67">
        <f t="shared" si="154"/>
        <v>112.10062499999999</v>
      </c>
      <c r="BC56" s="67">
        <f t="shared" si="155"/>
        <v>49.822499999999998</v>
      </c>
      <c r="BD56" s="68">
        <f t="shared" si="156"/>
        <v>9.9644999999999992</v>
      </c>
      <c r="BE56" s="68">
        <f t="shared" si="157"/>
        <v>1.6607499999999999</v>
      </c>
      <c r="BF56" s="67">
        <f t="shared" si="158"/>
        <v>4.9822500000000005</v>
      </c>
      <c r="BG56" s="67">
        <f t="shared" si="159"/>
        <v>28.025156249999995</v>
      </c>
      <c r="BH56" s="67">
        <f t="shared" si="160"/>
        <v>4.9822500000000005</v>
      </c>
      <c r="BI56" s="68">
        <f t="shared" si="161"/>
        <v>8.9680499999999999</v>
      </c>
      <c r="BJ56" s="68">
        <f t="shared" si="162"/>
        <v>1.494675</v>
      </c>
      <c r="BK56" s="67">
        <f t="shared" si="163"/>
        <v>44.840249999999997</v>
      </c>
      <c r="BL56" s="67">
        <f t="shared" si="164"/>
        <v>84.075468749999999</v>
      </c>
      <c r="BM56" s="67">
        <f t="shared" si="165"/>
        <v>44.840249999999997</v>
      </c>
      <c r="BN56" s="68">
        <f t="shared" si="166"/>
        <v>0.99644999999999995</v>
      </c>
      <c r="BO56" s="187">
        <f t="shared" si="167"/>
        <v>0.166075</v>
      </c>
      <c r="BP56" s="157"/>
      <c r="BQ56" s="148"/>
      <c r="BR56" s="148"/>
      <c r="BS56" s="148"/>
      <c r="BT56" s="148"/>
      <c r="BU56" s="150"/>
      <c r="BV56" s="151">
        <v>0</v>
      </c>
      <c r="BW56" s="150">
        <f t="shared" si="186"/>
        <v>0</v>
      </c>
      <c r="BX56" s="150">
        <f t="shared" si="176"/>
        <v>0</v>
      </c>
      <c r="BY56" s="150">
        <f t="shared" si="177"/>
        <v>0</v>
      </c>
      <c r="BZ56" s="155">
        <f t="shared" si="99"/>
        <v>0</v>
      </c>
      <c r="CA56" s="179">
        <f t="shared" si="101"/>
        <v>0</v>
      </c>
      <c r="CB56" s="203">
        <f t="shared" si="168"/>
        <v>0</v>
      </c>
      <c r="CC56" s="198">
        <f t="shared" si="178"/>
        <v>0</v>
      </c>
      <c r="CD56" s="206">
        <f t="shared" si="169"/>
        <v>0</v>
      </c>
      <c r="CE56" s="150">
        <f t="shared" si="179"/>
        <v>0</v>
      </c>
      <c r="CF56" s="206">
        <f t="shared" si="170"/>
        <v>0</v>
      </c>
      <c r="CG56" s="150">
        <f t="shared" si="180"/>
        <v>0</v>
      </c>
      <c r="CH56" s="206">
        <f t="shared" si="171"/>
        <v>0</v>
      </c>
      <c r="CI56" s="150">
        <f t="shared" si="181"/>
        <v>0</v>
      </c>
      <c r="CJ56" s="206">
        <f t="shared" si="172"/>
        <v>0</v>
      </c>
      <c r="CK56" s="150">
        <f t="shared" si="182"/>
        <v>0</v>
      </c>
      <c r="CL56" s="206">
        <f t="shared" si="173"/>
        <v>0</v>
      </c>
      <c r="CM56" s="150">
        <f t="shared" si="183"/>
        <v>0</v>
      </c>
      <c r="CN56" s="150">
        <f t="shared" si="184"/>
        <v>0</v>
      </c>
      <c r="CO56" s="157"/>
      <c r="CP56" s="148"/>
      <c r="CQ56" s="148"/>
      <c r="CR56" s="148"/>
      <c r="CS56" s="148"/>
      <c r="CT56" s="148"/>
      <c r="CU56" s="151">
        <v>1895950</v>
      </c>
      <c r="CV56" s="150">
        <f t="shared" si="187"/>
        <v>1990747.5</v>
      </c>
      <c r="CW56" s="150">
        <f t="shared" ref="CW56:DG56" si="210">CV56+ROUND(CV56*CW$6,2)</f>
        <v>2287368.88</v>
      </c>
      <c r="CX56" s="150">
        <f t="shared" si="210"/>
        <v>2296518.36</v>
      </c>
      <c r="CY56" s="150">
        <f t="shared" si="210"/>
        <v>2349338.2799999998</v>
      </c>
      <c r="CZ56" s="155">
        <f t="shared" si="210"/>
        <v>2408071.7399999998</v>
      </c>
      <c r="DA56" s="155">
        <f t="shared" si="210"/>
        <v>2468273.5299999998</v>
      </c>
      <c r="DB56" s="155">
        <f t="shared" si="210"/>
        <v>2529980.3699999996</v>
      </c>
      <c r="DC56" s="155">
        <f t="shared" si="210"/>
        <v>2593229.8799999994</v>
      </c>
      <c r="DD56" s="155">
        <f t="shared" si="210"/>
        <v>2658060.6299999994</v>
      </c>
      <c r="DE56" s="155">
        <f t="shared" si="210"/>
        <v>2724512.1499999994</v>
      </c>
      <c r="DF56" s="155">
        <f t="shared" si="210"/>
        <v>2792624.9499999993</v>
      </c>
      <c r="DG56" s="155">
        <f t="shared" si="210"/>
        <v>2862440.5699999994</v>
      </c>
      <c r="DH56" s="236">
        <v>0</v>
      </c>
      <c r="DI56" s="243">
        <f t="shared" si="199"/>
        <v>0</v>
      </c>
      <c r="DJ56" s="248">
        <f t="shared" si="175"/>
        <v>0</v>
      </c>
      <c r="DK56" s="382">
        <v>0</v>
      </c>
      <c r="DL56">
        <f>DH56/'1.piel'!G55</f>
        <v>0</v>
      </c>
    </row>
    <row r="57" spans="2:116" x14ac:dyDescent="0.25">
      <c r="B57" s="52">
        <v>64</v>
      </c>
      <c r="C57" s="53" t="s">
        <v>99</v>
      </c>
      <c r="D57" s="36" t="s">
        <v>265</v>
      </c>
      <c r="E57" s="110">
        <v>2346</v>
      </c>
      <c r="F57" s="178">
        <v>2383</v>
      </c>
      <c r="G57" s="36">
        <v>0</v>
      </c>
      <c r="H57" s="99">
        <f t="shared" si="114"/>
        <v>2383</v>
      </c>
      <c r="I57" s="94">
        <f t="shared" si="115"/>
        <v>1</v>
      </c>
      <c r="J57" s="89">
        <v>2383</v>
      </c>
      <c r="K57" s="98">
        <f t="shared" si="116"/>
        <v>0</v>
      </c>
      <c r="L57" s="99">
        <f t="shared" si="117"/>
        <v>0</v>
      </c>
      <c r="M57" s="174">
        <f t="shared" si="118"/>
        <v>0</v>
      </c>
      <c r="N57" s="64">
        <f t="shared" si="119"/>
        <v>0</v>
      </c>
      <c r="O57" s="64">
        <f t="shared" si="120"/>
        <v>0</v>
      </c>
      <c r="P57" s="64">
        <f t="shared" si="121"/>
        <v>0</v>
      </c>
      <c r="Q57" s="64">
        <f t="shared" si="122"/>
        <v>0</v>
      </c>
      <c r="R57" s="64">
        <f t="shared" si="123"/>
        <v>0</v>
      </c>
      <c r="S57" s="64">
        <f t="shared" si="124"/>
        <v>0</v>
      </c>
      <c r="T57" s="64">
        <f t="shared" si="125"/>
        <v>0</v>
      </c>
      <c r="U57" s="64">
        <f t="shared" si="126"/>
        <v>0</v>
      </c>
      <c r="V57" s="64">
        <f t="shared" si="127"/>
        <v>0</v>
      </c>
      <c r="W57" s="64">
        <f t="shared" si="128"/>
        <v>0</v>
      </c>
      <c r="X57" s="64">
        <f t="shared" si="129"/>
        <v>0</v>
      </c>
      <c r="Y57" s="64">
        <f t="shared" si="130"/>
        <v>0</v>
      </c>
      <c r="Z57" s="64">
        <f t="shared" si="131"/>
        <v>0</v>
      </c>
      <c r="AA57" s="64">
        <f t="shared" si="132"/>
        <v>0</v>
      </c>
      <c r="AB57" s="64">
        <f t="shared" si="133"/>
        <v>0</v>
      </c>
      <c r="AC57" s="64">
        <f t="shared" si="134"/>
        <v>0</v>
      </c>
      <c r="AD57" s="64">
        <f t="shared" si="135"/>
        <v>0</v>
      </c>
      <c r="AE57" s="64">
        <f t="shared" si="136"/>
        <v>0</v>
      </c>
      <c r="AF57" s="64">
        <f t="shared" si="137"/>
        <v>0</v>
      </c>
      <c r="AG57" s="65">
        <f t="shared" si="138"/>
        <v>52.1877</v>
      </c>
      <c r="AH57" s="65">
        <f t="shared" si="139"/>
        <v>117.422325</v>
      </c>
      <c r="AI57" s="65">
        <f t="shared" si="140"/>
        <v>52.1877</v>
      </c>
      <c r="AJ57" s="65">
        <f t="shared" si="141"/>
        <v>10.43754</v>
      </c>
      <c r="AK57" s="65">
        <f t="shared" si="142"/>
        <v>1.73959</v>
      </c>
      <c r="AL57" s="66">
        <v>0.9</v>
      </c>
      <c r="AM57" s="66">
        <v>0.75</v>
      </c>
      <c r="AN57" s="66">
        <v>0.9</v>
      </c>
      <c r="AO57" s="66">
        <v>0.1</v>
      </c>
      <c r="AP57" s="66">
        <v>0.1</v>
      </c>
      <c r="AQ57" s="65">
        <f t="shared" si="143"/>
        <v>46.96893</v>
      </c>
      <c r="AR57" s="65">
        <f t="shared" si="144"/>
        <v>88.066743750000001</v>
      </c>
      <c r="AS57" s="65">
        <f t="shared" si="145"/>
        <v>46.96893</v>
      </c>
      <c r="AT57" s="65">
        <f t="shared" si="146"/>
        <v>1.0437540000000001</v>
      </c>
      <c r="AU57" s="65">
        <f t="shared" si="147"/>
        <v>0.173959</v>
      </c>
      <c r="AV57" s="65">
        <f t="shared" si="148"/>
        <v>5.2187699999999992</v>
      </c>
      <c r="AW57" s="65">
        <f t="shared" si="149"/>
        <v>29.35558125</v>
      </c>
      <c r="AX57" s="65">
        <f t="shared" si="150"/>
        <v>5.2187699999999992</v>
      </c>
      <c r="AY57" s="65">
        <f t="shared" si="151"/>
        <v>9.3937860000000004</v>
      </c>
      <c r="AZ57" s="65">
        <f t="shared" si="152"/>
        <v>1.565631</v>
      </c>
      <c r="BA57" s="67">
        <f t="shared" si="153"/>
        <v>52.1877</v>
      </c>
      <c r="BB57" s="67">
        <f t="shared" si="154"/>
        <v>117.422325</v>
      </c>
      <c r="BC57" s="67">
        <f t="shared" si="155"/>
        <v>52.1877</v>
      </c>
      <c r="BD57" s="68">
        <f t="shared" si="156"/>
        <v>10.43754</v>
      </c>
      <c r="BE57" s="68">
        <f t="shared" si="157"/>
        <v>1.73959</v>
      </c>
      <c r="BF57" s="67">
        <f t="shared" si="158"/>
        <v>5.2187699999999992</v>
      </c>
      <c r="BG57" s="67">
        <f t="shared" si="159"/>
        <v>29.35558125</v>
      </c>
      <c r="BH57" s="67">
        <f t="shared" si="160"/>
        <v>5.2187699999999992</v>
      </c>
      <c r="BI57" s="68">
        <f t="shared" si="161"/>
        <v>9.3937860000000004</v>
      </c>
      <c r="BJ57" s="68">
        <f t="shared" si="162"/>
        <v>1.565631</v>
      </c>
      <c r="BK57" s="67">
        <f t="shared" si="163"/>
        <v>46.96893</v>
      </c>
      <c r="BL57" s="67">
        <f t="shared" si="164"/>
        <v>88.066743750000001</v>
      </c>
      <c r="BM57" s="67">
        <f t="shared" si="165"/>
        <v>46.96893</v>
      </c>
      <c r="BN57" s="68">
        <f t="shared" si="166"/>
        <v>1.0437540000000001</v>
      </c>
      <c r="BO57" s="187">
        <f t="shared" si="167"/>
        <v>0.173959</v>
      </c>
      <c r="BP57" s="157"/>
      <c r="BQ57" s="148"/>
      <c r="BR57" s="148"/>
      <c r="BS57" s="148"/>
      <c r="BT57" s="148"/>
      <c r="BU57" s="150"/>
      <c r="BV57" s="151">
        <v>0</v>
      </c>
      <c r="BW57" s="150">
        <f t="shared" si="186"/>
        <v>0</v>
      </c>
      <c r="BX57" s="150">
        <f t="shared" si="176"/>
        <v>0</v>
      </c>
      <c r="BY57" s="150">
        <f t="shared" si="177"/>
        <v>0</v>
      </c>
      <c r="BZ57" s="155">
        <f t="shared" si="99"/>
        <v>0</v>
      </c>
      <c r="CA57" s="179">
        <f t="shared" si="101"/>
        <v>0</v>
      </c>
      <c r="CB57" s="203">
        <f t="shared" si="168"/>
        <v>0</v>
      </c>
      <c r="CC57" s="198">
        <f t="shared" si="178"/>
        <v>0</v>
      </c>
      <c r="CD57" s="206">
        <f t="shared" si="169"/>
        <v>0</v>
      </c>
      <c r="CE57" s="150">
        <f t="shared" si="179"/>
        <v>0</v>
      </c>
      <c r="CF57" s="206">
        <f t="shared" si="170"/>
        <v>0</v>
      </c>
      <c r="CG57" s="150">
        <f t="shared" si="180"/>
        <v>0</v>
      </c>
      <c r="CH57" s="206">
        <f t="shared" si="171"/>
        <v>0</v>
      </c>
      <c r="CI57" s="150">
        <f t="shared" si="181"/>
        <v>0</v>
      </c>
      <c r="CJ57" s="206">
        <f t="shared" si="172"/>
        <v>0</v>
      </c>
      <c r="CK57" s="150">
        <f t="shared" si="182"/>
        <v>0</v>
      </c>
      <c r="CL57" s="206">
        <f t="shared" si="173"/>
        <v>0</v>
      </c>
      <c r="CM57" s="150">
        <f t="shared" si="183"/>
        <v>0</v>
      </c>
      <c r="CN57" s="150">
        <f t="shared" si="184"/>
        <v>0</v>
      </c>
      <c r="CO57" s="157"/>
      <c r="CP57" s="148"/>
      <c r="CQ57" s="148"/>
      <c r="CR57" s="148"/>
      <c r="CS57" s="148"/>
      <c r="CT57" s="148"/>
      <c r="CU57" s="151">
        <v>0</v>
      </c>
      <c r="CV57" s="150">
        <f t="shared" si="187"/>
        <v>0</v>
      </c>
      <c r="CW57" s="150">
        <f t="shared" ref="CW57:DG57" si="211">CV57+ROUND(CV57*CW$6,2)</f>
        <v>0</v>
      </c>
      <c r="CX57" s="150">
        <f t="shared" si="211"/>
        <v>0</v>
      </c>
      <c r="CY57" s="150">
        <f t="shared" si="211"/>
        <v>0</v>
      </c>
      <c r="CZ57" s="155">
        <f t="shared" si="211"/>
        <v>0</v>
      </c>
      <c r="DA57" s="155">
        <f t="shared" si="211"/>
        <v>0</v>
      </c>
      <c r="DB57" s="155">
        <f t="shared" si="211"/>
        <v>0</v>
      </c>
      <c r="DC57" s="155">
        <f t="shared" si="211"/>
        <v>0</v>
      </c>
      <c r="DD57" s="155">
        <f t="shared" si="211"/>
        <v>0</v>
      </c>
      <c r="DE57" s="155">
        <f t="shared" si="211"/>
        <v>0</v>
      </c>
      <c r="DF57" s="155">
        <f t="shared" si="211"/>
        <v>0</v>
      </c>
      <c r="DG57" s="155">
        <f t="shared" si="211"/>
        <v>0</v>
      </c>
      <c r="DH57" s="236">
        <v>0</v>
      </c>
      <c r="DI57" s="243">
        <f t="shared" si="199"/>
        <v>0</v>
      </c>
      <c r="DJ57" s="248">
        <f t="shared" si="175"/>
        <v>0</v>
      </c>
      <c r="DK57" s="382">
        <v>0</v>
      </c>
      <c r="DL57">
        <f>DH57/'1.piel'!G56</f>
        <v>0</v>
      </c>
    </row>
    <row r="58" spans="2:116" x14ac:dyDescent="0.25">
      <c r="B58" s="52">
        <v>86</v>
      </c>
      <c r="C58" s="53" t="s">
        <v>124</v>
      </c>
      <c r="D58" s="36" t="s">
        <v>265</v>
      </c>
      <c r="E58" s="110">
        <v>1325</v>
      </c>
      <c r="F58" s="178">
        <v>1464</v>
      </c>
      <c r="G58" s="36">
        <v>16</v>
      </c>
      <c r="H58" s="99">
        <f t="shared" si="114"/>
        <v>1480</v>
      </c>
      <c r="I58" s="94">
        <f t="shared" si="115"/>
        <v>0.77527322404371579</v>
      </c>
      <c r="J58" s="89">
        <v>1135</v>
      </c>
      <c r="K58" s="98">
        <f t="shared" si="116"/>
        <v>0.22472677595628415</v>
      </c>
      <c r="L58" s="99">
        <f t="shared" si="117"/>
        <v>329</v>
      </c>
      <c r="M58" s="174">
        <f t="shared" si="118"/>
        <v>7.2050999999999998</v>
      </c>
      <c r="N58" s="64">
        <f t="shared" si="119"/>
        <v>16.211475</v>
      </c>
      <c r="O58" s="64">
        <f t="shared" si="120"/>
        <v>7.2050999999999998</v>
      </c>
      <c r="P58" s="64">
        <f t="shared" si="121"/>
        <v>1.44102</v>
      </c>
      <c r="Q58" s="64">
        <f t="shared" si="122"/>
        <v>0.24016999999999999</v>
      </c>
      <c r="R58" s="64">
        <f t="shared" si="123"/>
        <v>1.561105</v>
      </c>
      <c r="S58" s="64">
        <f t="shared" si="124"/>
        <v>2.6418699999999999</v>
      </c>
      <c r="T58" s="64">
        <f t="shared" si="125"/>
        <v>1.801275</v>
      </c>
      <c r="U58" s="64">
        <f t="shared" si="126"/>
        <v>0.36025499999999999</v>
      </c>
      <c r="V58" s="64">
        <f t="shared" si="127"/>
        <v>6.0042499999999999E-2</v>
      </c>
      <c r="W58" s="64">
        <f t="shared" si="128"/>
        <v>2.2816149999999999</v>
      </c>
      <c r="X58" s="64">
        <f t="shared" si="129"/>
        <v>3.8427199999999999</v>
      </c>
      <c r="Y58" s="64">
        <f t="shared" si="130"/>
        <v>1.801275</v>
      </c>
      <c r="Z58" s="64">
        <f t="shared" si="131"/>
        <v>0</v>
      </c>
      <c r="AA58" s="64">
        <f t="shared" si="132"/>
        <v>0</v>
      </c>
      <c r="AB58" s="64">
        <f t="shared" si="133"/>
        <v>3.3623799999999999</v>
      </c>
      <c r="AC58" s="64">
        <f t="shared" si="134"/>
        <v>9.7268849999999993</v>
      </c>
      <c r="AD58" s="64">
        <f t="shared" si="135"/>
        <v>3.6025499999999999</v>
      </c>
      <c r="AE58" s="64">
        <f t="shared" si="136"/>
        <v>1.080765</v>
      </c>
      <c r="AF58" s="64">
        <f t="shared" si="137"/>
        <v>0.1801275</v>
      </c>
      <c r="AG58" s="65">
        <f t="shared" si="138"/>
        <v>25.206900000000001</v>
      </c>
      <c r="AH58" s="65">
        <f t="shared" si="139"/>
        <v>56.715525</v>
      </c>
      <c r="AI58" s="65">
        <f t="shared" si="140"/>
        <v>25.206900000000001</v>
      </c>
      <c r="AJ58" s="65">
        <f t="shared" si="141"/>
        <v>5.0413800000000002</v>
      </c>
      <c r="AK58" s="65">
        <f t="shared" si="142"/>
        <v>0.84023000000000003</v>
      </c>
      <c r="AL58" s="66">
        <v>0.9</v>
      </c>
      <c r="AM58" s="66">
        <v>0.75</v>
      </c>
      <c r="AN58" s="66">
        <v>0.9</v>
      </c>
      <c r="AO58" s="66">
        <v>0.1</v>
      </c>
      <c r="AP58" s="66">
        <v>0.1</v>
      </c>
      <c r="AQ58" s="65">
        <f t="shared" si="143"/>
        <v>24.091204500000003</v>
      </c>
      <c r="AR58" s="65">
        <f t="shared" si="144"/>
        <v>44.518046249999998</v>
      </c>
      <c r="AS58" s="65">
        <f t="shared" si="145"/>
        <v>24.307357500000002</v>
      </c>
      <c r="AT58" s="65">
        <f t="shared" si="146"/>
        <v>0.54016350000000013</v>
      </c>
      <c r="AU58" s="65">
        <f t="shared" si="147"/>
        <v>9.0027250000000003E-2</v>
      </c>
      <c r="AV58" s="65">
        <f t="shared" si="148"/>
        <v>2.6768004999999988</v>
      </c>
      <c r="AW58" s="65">
        <f t="shared" si="149"/>
        <v>14.839348749999999</v>
      </c>
      <c r="AX58" s="65">
        <f t="shared" si="150"/>
        <v>2.7008174999999994</v>
      </c>
      <c r="AY58" s="65">
        <f t="shared" si="151"/>
        <v>4.8614715000000004</v>
      </c>
      <c r="AZ58" s="65">
        <f t="shared" si="152"/>
        <v>0.81024525000000003</v>
      </c>
      <c r="BA58" s="67">
        <f t="shared" si="153"/>
        <v>32.411999999999999</v>
      </c>
      <c r="BB58" s="67">
        <f t="shared" si="154"/>
        <v>72.926999999999992</v>
      </c>
      <c r="BC58" s="67">
        <f t="shared" si="155"/>
        <v>32.411999999999999</v>
      </c>
      <c r="BD58" s="68">
        <f t="shared" si="156"/>
        <v>6.4824000000000002</v>
      </c>
      <c r="BE58" s="68">
        <f t="shared" si="157"/>
        <v>1.0804</v>
      </c>
      <c r="BF58" s="67">
        <f t="shared" si="158"/>
        <v>6.0391804999999987</v>
      </c>
      <c r="BG58" s="67">
        <f t="shared" si="159"/>
        <v>24.566233749999999</v>
      </c>
      <c r="BH58" s="67">
        <f t="shared" si="160"/>
        <v>6.3033674999999993</v>
      </c>
      <c r="BI58" s="68">
        <f t="shared" si="161"/>
        <v>5.9422364999999999</v>
      </c>
      <c r="BJ58" s="68">
        <f t="shared" si="162"/>
        <v>0.99037275000000002</v>
      </c>
      <c r="BK58" s="67">
        <f t="shared" si="163"/>
        <v>26.372819500000002</v>
      </c>
      <c r="BL58" s="67">
        <f t="shared" si="164"/>
        <v>48.360766249999998</v>
      </c>
      <c r="BM58" s="67">
        <f t="shared" si="165"/>
        <v>26.108632500000002</v>
      </c>
      <c r="BN58" s="68">
        <f t="shared" si="166"/>
        <v>0.54016350000000013</v>
      </c>
      <c r="BO58" s="187">
        <f t="shared" si="167"/>
        <v>9.0027250000000003E-2</v>
      </c>
      <c r="BP58" s="157"/>
      <c r="BQ58" s="148"/>
      <c r="BR58" s="151">
        <v>192000</v>
      </c>
      <c r="BS58" s="150">
        <f>BR58+ROUND(BR58*BS$6,2)</f>
        <v>242304</v>
      </c>
      <c r="BT58" s="150">
        <f>BS58+ROUND(BS58*BT$6,2)</f>
        <v>277195.78000000003</v>
      </c>
      <c r="BU58" s="150">
        <f>BT58+ROUND(BT58*BU$6,2)</f>
        <v>253634.14</v>
      </c>
      <c r="BV58" s="150">
        <f>BU58+ROUND(BU58*BV$6,2)</f>
        <v>227256.19</v>
      </c>
      <c r="BW58" s="150">
        <f>BV58+ROUND(BV58*BW$6,2)</f>
        <v>238619</v>
      </c>
      <c r="BX58" s="150">
        <f t="shared" si="176"/>
        <v>274173.23</v>
      </c>
      <c r="BY58" s="150">
        <f t="shared" si="177"/>
        <v>275269.92</v>
      </c>
      <c r="BZ58" s="155">
        <f t="shared" si="99"/>
        <v>281601.13</v>
      </c>
      <c r="CA58" s="415">
        <f>BZ58+ROUND(BZ58*$BZ$6,2)+DH58</f>
        <v>722502.36</v>
      </c>
      <c r="CB58" s="203">
        <f t="shared" si="168"/>
        <v>68637.724199999997</v>
      </c>
      <c r="CC58" s="198">
        <f t="shared" si="178"/>
        <v>739119.91</v>
      </c>
      <c r="CD58" s="206">
        <f t="shared" si="169"/>
        <v>70216.39145000001</v>
      </c>
      <c r="CE58" s="150">
        <f t="shared" si="179"/>
        <v>756119.67</v>
      </c>
      <c r="CF58" s="206">
        <f t="shared" si="170"/>
        <v>71831.368650000004</v>
      </c>
      <c r="CG58" s="150">
        <f t="shared" si="180"/>
        <v>773510.42</v>
      </c>
      <c r="CH58" s="206">
        <f t="shared" si="171"/>
        <v>73483.4899</v>
      </c>
      <c r="CI58" s="150">
        <f t="shared" si="181"/>
        <v>791301.16</v>
      </c>
      <c r="CJ58" s="206">
        <f t="shared" si="172"/>
        <v>75173.61020000001</v>
      </c>
      <c r="CK58" s="150">
        <f t="shared" si="182"/>
        <v>809501.09000000008</v>
      </c>
      <c r="CL58" s="206">
        <f t="shared" si="173"/>
        <v>76902.603550000014</v>
      </c>
      <c r="CM58" s="150">
        <f t="shared" si="183"/>
        <v>828119.62000000011</v>
      </c>
      <c r="CN58" s="150">
        <f t="shared" si="184"/>
        <v>847166.37000000011</v>
      </c>
      <c r="CO58" s="157"/>
      <c r="CP58" s="148"/>
      <c r="CQ58" s="151">
        <v>501350</v>
      </c>
      <c r="CR58" s="150">
        <f>CQ58+ROUND(CQ58*CR$6,2)</f>
        <v>632703.69999999995</v>
      </c>
      <c r="CS58" s="150">
        <f>CR58+ROUND(CR58*CS$6,2)</f>
        <v>723813.02999999991</v>
      </c>
      <c r="CT58" s="150">
        <f>CS58+ROUND(CS58*CT$6,2)</f>
        <v>662288.91999999993</v>
      </c>
      <c r="CU58" s="150">
        <f>CT58+ROUND(CT58*CU$6,2)</f>
        <v>593410.86999999988</v>
      </c>
      <c r="CV58" s="150">
        <f t="shared" si="187"/>
        <v>623081.40999999992</v>
      </c>
      <c r="CW58" s="150">
        <f t="shared" ref="CW58:DG58" si="212">CV58+ROUND(CV58*CW$6,2)</f>
        <v>715920.53999999992</v>
      </c>
      <c r="CX58" s="150">
        <f t="shared" si="212"/>
        <v>718784.22</v>
      </c>
      <c r="CY58" s="150">
        <f t="shared" si="212"/>
        <v>735316.26</v>
      </c>
      <c r="CZ58" s="155">
        <f t="shared" si="212"/>
        <v>753699.17</v>
      </c>
      <c r="DA58" s="155">
        <f t="shared" si="212"/>
        <v>772541.65</v>
      </c>
      <c r="DB58" s="155">
        <f t="shared" si="212"/>
        <v>791855.19000000006</v>
      </c>
      <c r="DC58" s="155">
        <f t="shared" si="212"/>
        <v>811651.57000000007</v>
      </c>
      <c r="DD58" s="155">
        <f t="shared" si="212"/>
        <v>831942.8600000001</v>
      </c>
      <c r="DE58" s="155">
        <f t="shared" si="212"/>
        <v>852741.43</v>
      </c>
      <c r="DF58" s="155">
        <f t="shared" si="212"/>
        <v>874059.97000000009</v>
      </c>
      <c r="DG58" s="155">
        <f t="shared" si="212"/>
        <v>895911.47000000009</v>
      </c>
      <c r="DH58" s="400">
        <f>$DM$28*'1.piel'!I57</f>
        <v>434424.39999999997</v>
      </c>
      <c r="DI58" s="243">
        <f>SUM(CA58,DH58)-DH58</f>
        <v>722502.3600000001</v>
      </c>
      <c r="DJ58" s="248">
        <f t="shared" si="175"/>
        <v>1172.354877838125</v>
      </c>
      <c r="DK58" s="382">
        <f>(CA58-DH58)/'1.piel'!M57</f>
        <v>875.61689969604868</v>
      </c>
      <c r="DL58">
        <f>DH58/'1.piel'!G57</f>
        <v>296.73797814207649</v>
      </c>
    </row>
    <row r="59" spans="2:116" x14ac:dyDescent="0.25">
      <c r="B59" s="52">
        <v>87</v>
      </c>
      <c r="C59" s="53" t="s">
        <v>125</v>
      </c>
      <c r="D59" s="36" t="s">
        <v>265</v>
      </c>
      <c r="E59" s="110">
        <v>1280</v>
      </c>
      <c r="F59" s="178">
        <v>2105</v>
      </c>
      <c r="G59" s="63">
        <v>1876</v>
      </c>
      <c r="H59" s="99">
        <f t="shared" si="114"/>
        <v>3981</v>
      </c>
      <c r="I59" s="94">
        <f t="shared" si="115"/>
        <v>0.60997624703087883</v>
      </c>
      <c r="J59" s="89">
        <v>1284</v>
      </c>
      <c r="K59" s="98">
        <f t="shared" si="116"/>
        <v>0.39002375296912112</v>
      </c>
      <c r="L59" s="99">
        <f t="shared" si="117"/>
        <v>821</v>
      </c>
      <c r="M59" s="174">
        <f t="shared" si="118"/>
        <v>17.979900000000001</v>
      </c>
      <c r="N59" s="64">
        <f t="shared" si="119"/>
        <v>40.454774999999998</v>
      </c>
      <c r="O59" s="64">
        <f t="shared" si="120"/>
        <v>17.979900000000001</v>
      </c>
      <c r="P59" s="64">
        <f t="shared" si="121"/>
        <v>3.59598</v>
      </c>
      <c r="Q59" s="64">
        <f t="shared" si="122"/>
        <v>0.59933000000000003</v>
      </c>
      <c r="R59" s="64">
        <f t="shared" si="123"/>
        <v>3.895645</v>
      </c>
      <c r="S59" s="64">
        <f t="shared" si="124"/>
        <v>6.5926299999999998</v>
      </c>
      <c r="T59" s="64">
        <f t="shared" si="125"/>
        <v>4.4949750000000002</v>
      </c>
      <c r="U59" s="64">
        <f t="shared" si="126"/>
        <v>0.89899499999999999</v>
      </c>
      <c r="V59" s="64">
        <f t="shared" si="127"/>
        <v>0.14983250000000001</v>
      </c>
      <c r="W59" s="64">
        <f t="shared" si="128"/>
        <v>5.6936349999999996</v>
      </c>
      <c r="X59" s="64">
        <f t="shared" si="129"/>
        <v>9.5892800000000005</v>
      </c>
      <c r="Y59" s="64">
        <f t="shared" si="130"/>
        <v>4.4949750000000002</v>
      </c>
      <c r="Z59" s="64">
        <f t="shared" si="131"/>
        <v>0</v>
      </c>
      <c r="AA59" s="64">
        <f t="shared" si="132"/>
        <v>0</v>
      </c>
      <c r="AB59" s="64">
        <f t="shared" si="133"/>
        <v>8.3906200000000002</v>
      </c>
      <c r="AC59" s="64">
        <f t="shared" si="134"/>
        <v>24.272864999999999</v>
      </c>
      <c r="AD59" s="64">
        <f t="shared" si="135"/>
        <v>8.9899500000000003</v>
      </c>
      <c r="AE59" s="64">
        <f t="shared" si="136"/>
        <v>2.6969850000000002</v>
      </c>
      <c r="AF59" s="64">
        <f t="shared" si="137"/>
        <v>0.44949749999999999</v>
      </c>
      <c r="AG59" s="65">
        <f t="shared" si="138"/>
        <v>69.203999999999994</v>
      </c>
      <c r="AH59" s="65">
        <f t="shared" si="139"/>
        <v>155.709</v>
      </c>
      <c r="AI59" s="65">
        <f t="shared" si="140"/>
        <v>69.203999999999994</v>
      </c>
      <c r="AJ59" s="65">
        <f t="shared" si="141"/>
        <v>13.8408</v>
      </c>
      <c r="AK59" s="65">
        <f t="shared" si="142"/>
        <v>2.3068</v>
      </c>
      <c r="AL59" s="66">
        <v>0.9</v>
      </c>
      <c r="AM59" s="66">
        <v>0.75</v>
      </c>
      <c r="AN59" s="66">
        <v>0.9</v>
      </c>
      <c r="AO59" s="66">
        <v>0.1</v>
      </c>
      <c r="AP59" s="66">
        <v>0.1</v>
      </c>
      <c r="AQ59" s="65">
        <f t="shared" si="143"/>
        <v>65.789680500000003</v>
      </c>
      <c r="AR59" s="65">
        <f t="shared" si="144"/>
        <v>121.72622249999999</v>
      </c>
      <c r="AS59" s="65">
        <f t="shared" si="145"/>
        <v>66.329077499999997</v>
      </c>
      <c r="AT59" s="65">
        <f t="shared" si="146"/>
        <v>1.4739795</v>
      </c>
      <c r="AU59" s="65">
        <f t="shared" si="147"/>
        <v>0.24566325</v>
      </c>
      <c r="AV59" s="65">
        <f t="shared" si="148"/>
        <v>7.3099644999999924</v>
      </c>
      <c r="AW59" s="65">
        <f t="shared" si="149"/>
        <v>40.575407499999997</v>
      </c>
      <c r="AX59" s="65">
        <f t="shared" si="150"/>
        <v>7.3698974999999933</v>
      </c>
      <c r="AY59" s="65">
        <f t="shared" si="151"/>
        <v>13.265815499999999</v>
      </c>
      <c r="AZ59" s="65">
        <f t="shared" si="152"/>
        <v>2.2109692499999998</v>
      </c>
      <c r="BA59" s="67">
        <f t="shared" si="153"/>
        <v>87.183899999999994</v>
      </c>
      <c r="BB59" s="67">
        <f t="shared" si="154"/>
        <v>196.16377499999999</v>
      </c>
      <c r="BC59" s="67">
        <f t="shared" si="155"/>
        <v>87.183899999999994</v>
      </c>
      <c r="BD59" s="68">
        <f t="shared" si="156"/>
        <v>17.436779999999999</v>
      </c>
      <c r="BE59" s="68">
        <f t="shared" si="157"/>
        <v>2.9061300000000001</v>
      </c>
      <c r="BF59" s="67">
        <f t="shared" si="158"/>
        <v>15.700584499999993</v>
      </c>
      <c r="BG59" s="67">
        <f t="shared" si="159"/>
        <v>64.848272499999993</v>
      </c>
      <c r="BH59" s="67">
        <f t="shared" si="160"/>
        <v>16.359847499999994</v>
      </c>
      <c r="BI59" s="68">
        <f t="shared" si="161"/>
        <v>15.962800499999998</v>
      </c>
      <c r="BJ59" s="68">
        <f t="shared" si="162"/>
        <v>2.6604667499999999</v>
      </c>
      <c r="BK59" s="67">
        <f t="shared" si="163"/>
        <v>71.483315500000003</v>
      </c>
      <c r="BL59" s="67">
        <f t="shared" si="164"/>
        <v>131.31550249999998</v>
      </c>
      <c r="BM59" s="67">
        <f t="shared" si="165"/>
        <v>70.824052499999993</v>
      </c>
      <c r="BN59" s="68">
        <f t="shared" si="166"/>
        <v>1.4739795</v>
      </c>
      <c r="BO59" s="187">
        <f t="shared" si="167"/>
        <v>0.24566325</v>
      </c>
      <c r="BP59" s="157"/>
      <c r="BQ59" s="148"/>
      <c r="BR59" s="148"/>
      <c r="BS59" s="150"/>
      <c r="BT59" s="148"/>
      <c r="BU59" s="148"/>
      <c r="BV59" s="151">
        <v>615190</v>
      </c>
      <c r="BW59" s="150">
        <f>BV59+ROUND(BV59*$BW$6,2)</f>
        <v>645949.5</v>
      </c>
      <c r="BX59" s="150">
        <f t="shared" si="176"/>
        <v>742195.98</v>
      </c>
      <c r="BY59" s="150">
        <f t="shared" si="177"/>
        <v>745164.76</v>
      </c>
      <c r="BZ59" s="155">
        <f t="shared" si="99"/>
        <v>762303.55</v>
      </c>
      <c r="CA59" s="179">
        <f t="shared" ref="CA59:CA60" si="213">BZ59+ROUND(BZ59*$BZ$6,2)+DH59</f>
        <v>1948379.46</v>
      </c>
      <c r="CB59" s="203">
        <f t="shared" si="168"/>
        <v>185096.04869999998</v>
      </c>
      <c r="CC59" s="198">
        <f t="shared" si="178"/>
        <v>1993192.19</v>
      </c>
      <c r="CD59" s="206">
        <f t="shared" si="169"/>
        <v>189353.25805</v>
      </c>
      <c r="CE59" s="150">
        <f t="shared" si="179"/>
        <v>2039035.6099999999</v>
      </c>
      <c r="CF59" s="206">
        <f t="shared" si="170"/>
        <v>193708.38295</v>
      </c>
      <c r="CG59" s="150">
        <f t="shared" si="180"/>
        <v>2085933.43</v>
      </c>
      <c r="CH59" s="206">
        <f t="shared" si="171"/>
        <v>198163.67585</v>
      </c>
      <c r="CI59" s="150">
        <f t="shared" si="181"/>
        <v>2133909.9</v>
      </c>
      <c r="CJ59" s="206">
        <f t="shared" si="172"/>
        <v>202721.4405</v>
      </c>
      <c r="CK59" s="150">
        <f t="shared" si="182"/>
        <v>2182989.83</v>
      </c>
      <c r="CL59" s="206">
        <f t="shared" si="173"/>
        <v>207384.03385000001</v>
      </c>
      <c r="CM59" s="150">
        <f t="shared" si="183"/>
        <v>2233198.6</v>
      </c>
      <c r="CN59" s="150">
        <f t="shared" si="184"/>
        <v>2284562.17</v>
      </c>
      <c r="CO59" s="157"/>
      <c r="CP59" s="148"/>
      <c r="CQ59" s="148"/>
      <c r="CR59" s="148"/>
      <c r="CS59" s="148"/>
      <c r="CT59" s="148"/>
      <c r="CU59" s="151">
        <v>36000</v>
      </c>
      <c r="CV59" s="150">
        <f t="shared" si="187"/>
        <v>37800</v>
      </c>
      <c r="CW59" s="150">
        <f t="shared" ref="CW59:DG59" si="214">CV59+ROUND(CV59*CW$6,2)</f>
        <v>43432.2</v>
      </c>
      <c r="CX59" s="150">
        <f t="shared" si="214"/>
        <v>43605.93</v>
      </c>
      <c r="CY59" s="150">
        <f t="shared" si="214"/>
        <v>44608.87</v>
      </c>
      <c r="CZ59" s="155">
        <f t="shared" si="214"/>
        <v>45724.090000000004</v>
      </c>
      <c r="DA59" s="155">
        <f t="shared" si="214"/>
        <v>46867.19</v>
      </c>
      <c r="DB59" s="155">
        <f t="shared" si="214"/>
        <v>48038.87</v>
      </c>
      <c r="DC59" s="155">
        <f t="shared" si="214"/>
        <v>49239.840000000004</v>
      </c>
      <c r="DD59" s="155">
        <f t="shared" si="214"/>
        <v>50470.840000000004</v>
      </c>
      <c r="DE59" s="155">
        <f t="shared" si="214"/>
        <v>51732.61</v>
      </c>
      <c r="DF59" s="155">
        <f t="shared" si="214"/>
        <v>53025.93</v>
      </c>
      <c r="DG59" s="155">
        <f t="shared" si="214"/>
        <v>54351.58</v>
      </c>
      <c r="DH59" s="400">
        <f>$DM$28*'1.piel'!I58</f>
        <v>1168542.93</v>
      </c>
      <c r="DI59" s="243">
        <f t="shared" ref="DI59:DI60" si="215">SUM(CA59,DH59)-DH59</f>
        <v>1948379.4599999997</v>
      </c>
      <c r="DJ59" s="248">
        <f t="shared" si="175"/>
        <v>1504.9890731597236</v>
      </c>
      <c r="DK59" s="382">
        <f>(CA59-DH59)/'1.piel'!M58</f>
        <v>949.86179049939108</v>
      </c>
      <c r="DL59">
        <f>DH59/'1.piel'!G58</f>
        <v>555.12728266033253</v>
      </c>
    </row>
    <row r="60" spans="2:116" x14ac:dyDescent="0.25">
      <c r="B60" s="52">
        <v>88</v>
      </c>
      <c r="C60" s="53" t="s">
        <v>126</v>
      </c>
      <c r="D60" s="36" t="s">
        <v>265</v>
      </c>
      <c r="E60" s="110">
        <v>1137</v>
      </c>
      <c r="F60" s="178">
        <v>1449</v>
      </c>
      <c r="G60" s="36">
        <v>200</v>
      </c>
      <c r="H60" s="99">
        <f t="shared" si="114"/>
        <v>1649</v>
      </c>
      <c r="I60" s="94">
        <f t="shared" si="115"/>
        <v>1</v>
      </c>
      <c r="J60" s="89">
        <v>1449</v>
      </c>
      <c r="K60" s="98">
        <f t="shared" si="116"/>
        <v>0</v>
      </c>
      <c r="L60" s="99">
        <f t="shared" si="117"/>
        <v>0</v>
      </c>
      <c r="M60" s="174">
        <f t="shared" si="118"/>
        <v>0</v>
      </c>
      <c r="N60" s="64">
        <f t="shared" si="119"/>
        <v>0</v>
      </c>
      <c r="O60" s="64">
        <f t="shared" si="120"/>
        <v>0</v>
      </c>
      <c r="P60" s="64">
        <f t="shared" si="121"/>
        <v>0</v>
      </c>
      <c r="Q60" s="64">
        <f t="shared" si="122"/>
        <v>0</v>
      </c>
      <c r="R60" s="64">
        <f t="shared" si="123"/>
        <v>0</v>
      </c>
      <c r="S60" s="64">
        <f t="shared" si="124"/>
        <v>0</v>
      </c>
      <c r="T60" s="64">
        <f t="shared" si="125"/>
        <v>0</v>
      </c>
      <c r="U60" s="64">
        <f t="shared" si="126"/>
        <v>0</v>
      </c>
      <c r="V60" s="64">
        <f t="shared" si="127"/>
        <v>0</v>
      </c>
      <c r="W60" s="64">
        <f t="shared" si="128"/>
        <v>0</v>
      </c>
      <c r="X60" s="64">
        <f t="shared" si="129"/>
        <v>0</v>
      </c>
      <c r="Y60" s="64">
        <f t="shared" si="130"/>
        <v>0</v>
      </c>
      <c r="Z60" s="64">
        <f t="shared" si="131"/>
        <v>0</v>
      </c>
      <c r="AA60" s="64">
        <f t="shared" si="132"/>
        <v>0</v>
      </c>
      <c r="AB60" s="64">
        <f t="shared" si="133"/>
        <v>0</v>
      </c>
      <c r="AC60" s="64">
        <f t="shared" si="134"/>
        <v>0</v>
      </c>
      <c r="AD60" s="64">
        <f t="shared" si="135"/>
        <v>0</v>
      </c>
      <c r="AE60" s="64">
        <f t="shared" si="136"/>
        <v>0</v>
      </c>
      <c r="AF60" s="64">
        <f t="shared" si="137"/>
        <v>0</v>
      </c>
      <c r="AG60" s="65">
        <f t="shared" si="138"/>
        <v>36.113100000000003</v>
      </c>
      <c r="AH60" s="65">
        <f t="shared" si="139"/>
        <v>81.254474999999999</v>
      </c>
      <c r="AI60" s="65">
        <f t="shared" si="140"/>
        <v>36.113100000000003</v>
      </c>
      <c r="AJ60" s="65">
        <f t="shared" si="141"/>
        <v>7.22262</v>
      </c>
      <c r="AK60" s="65">
        <f t="shared" si="142"/>
        <v>1.20377</v>
      </c>
      <c r="AL60" s="66">
        <v>0.9</v>
      </c>
      <c r="AM60" s="66">
        <v>0.75</v>
      </c>
      <c r="AN60" s="66">
        <v>0.9</v>
      </c>
      <c r="AO60" s="66">
        <v>0.1</v>
      </c>
      <c r="AP60" s="66">
        <v>0.1</v>
      </c>
      <c r="AQ60" s="65">
        <f t="shared" si="143"/>
        <v>32.501790000000007</v>
      </c>
      <c r="AR60" s="65">
        <f t="shared" si="144"/>
        <v>60.940856249999996</v>
      </c>
      <c r="AS60" s="65">
        <f t="shared" si="145"/>
        <v>32.501790000000007</v>
      </c>
      <c r="AT60" s="65">
        <f t="shared" si="146"/>
        <v>0.72226200000000007</v>
      </c>
      <c r="AU60" s="65">
        <f t="shared" si="147"/>
        <v>0.12037700000000001</v>
      </c>
      <c r="AV60" s="65">
        <f t="shared" si="148"/>
        <v>3.611309999999996</v>
      </c>
      <c r="AW60" s="65">
        <f t="shared" si="149"/>
        <v>20.313618750000003</v>
      </c>
      <c r="AX60" s="65">
        <f t="shared" si="150"/>
        <v>3.611309999999996</v>
      </c>
      <c r="AY60" s="65">
        <f t="shared" si="151"/>
        <v>6.5003580000000003</v>
      </c>
      <c r="AZ60" s="65">
        <f t="shared" si="152"/>
        <v>1.0833930000000001</v>
      </c>
      <c r="BA60" s="67">
        <f t="shared" si="153"/>
        <v>36.113100000000003</v>
      </c>
      <c r="BB60" s="67">
        <f t="shared" si="154"/>
        <v>81.254474999999999</v>
      </c>
      <c r="BC60" s="67">
        <f t="shared" si="155"/>
        <v>36.113100000000003</v>
      </c>
      <c r="BD60" s="68">
        <f t="shared" si="156"/>
        <v>7.22262</v>
      </c>
      <c r="BE60" s="68">
        <f t="shared" si="157"/>
        <v>1.20377</v>
      </c>
      <c r="BF60" s="67">
        <f t="shared" si="158"/>
        <v>3.611309999999996</v>
      </c>
      <c r="BG60" s="67">
        <f t="shared" si="159"/>
        <v>20.313618750000003</v>
      </c>
      <c r="BH60" s="67">
        <f t="shared" si="160"/>
        <v>3.611309999999996</v>
      </c>
      <c r="BI60" s="68">
        <f t="shared" si="161"/>
        <v>6.5003580000000003</v>
      </c>
      <c r="BJ60" s="68">
        <f t="shared" si="162"/>
        <v>1.0833930000000001</v>
      </c>
      <c r="BK60" s="67">
        <f t="shared" si="163"/>
        <v>32.501790000000007</v>
      </c>
      <c r="BL60" s="67">
        <f t="shared" si="164"/>
        <v>60.940856249999996</v>
      </c>
      <c r="BM60" s="67">
        <f t="shared" si="165"/>
        <v>32.501790000000007</v>
      </c>
      <c r="BN60" s="68">
        <f t="shared" si="166"/>
        <v>0.72226200000000007</v>
      </c>
      <c r="BO60" s="187">
        <f t="shared" si="167"/>
        <v>0.12037700000000001</v>
      </c>
      <c r="BP60" s="157"/>
      <c r="BQ60" s="148"/>
      <c r="BR60" s="148"/>
      <c r="BS60" s="150"/>
      <c r="BT60" s="148"/>
      <c r="BU60" s="148"/>
      <c r="BV60" s="151">
        <v>0</v>
      </c>
      <c r="BW60" s="150">
        <f>BV60+ROUND(BV60*$BW$6,2)</f>
        <v>0</v>
      </c>
      <c r="BX60" s="150">
        <f t="shared" si="176"/>
        <v>0</v>
      </c>
      <c r="BY60" s="150">
        <f t="shared" si="177"/>
        <v>0</v>
      </c>
      <c r="BZ60" s="155">
        <f t="shared" si="99"/>
        <v>0</v>
      </c>
      <c r="CA60" s="415">
        <f t="shared" si="213"/>
        <v>484030.97</v>
      </c>
      <c r="CB60" s="203">
        <f t="shared" si="168"/>
        <v>45982.942149999995</v>
      </c>
      <c r="CC60" s="198">
        <f t="shared" si="178"/>
        <v>495163.68</v>
      </c>
      <c r="CD60" s="206">
        <f t="shared" si="169"/>
        <v>47040.549599999998</v>
      </c>
      <c r="CE60" s="150">
        <f t="shared" si="179"/>
        <v>506552.44</v>
      </c>
      <c r="CF60" s="206">
        <f t="shared" si="170"/>
        <v>48122.481800000001</v>
      </c>
      <c r="CG60" s="150">
        <f t="shared" si="180"/>
        <v>518203.15</v>
      </c>
      <c r="CH60" s="206">
        <f t="shared" si="171"/>
        <v>49229.299250000004</v>
      </c>
      <c r="CI60" s="150">
        <f t="shared" si="181"/>
        <v>530121.82000000007</v>
      </c>
      <c r="CJ60" s="206">
        <f t="shared" si="172"/>
        <v>50361.572900000006</v>
      </c>
      <c r="CK60" s="150">
        <f t="shared" si="182"/>
        <v>542314.62000000011</v>
      </c>
      <c r="CL60" s="206">
        <f t="shared" si="173"/>
        <v>51519.888900000013</v>
      </c>
      <c r="CM60" s="150">
        <f t="shared" si="183"/>
        <v>554787.8600000001</v>
      </c>
      <c r="CN60" s="150">
        <f t="shared" si="184"/>
        <v>567547.9800000001</v>
      </c>
      <c r="CO60" s="157"/>
      <c r="CP60" s="148"/>
      <c r="CQ60" s="148"/>
      <c r="CR60" s="148"/>
      <c r="CS60" s="148"/>
      <c r="CT60" s="148"/>
      <c r="CU60" s="151">
        <v>118300</v>
      </c>
      <c r="CV60" s="150">
        <f t="shared" si="187"/>
        <v>124215</v>
      </c>
      <c r="CW60" s="150">
        <f t="shared" ref="CW60:DG60" si="216">CV60+ROUND(CV60*CW$6,2)</f>
        <v>142723.04</v>
      </c>
      <c r="CX60" s="150">
        <f t="shared" si="216"/>
        <v>143293.93000000002</v>
      </c>
      <c r="CY60" s="150">
        <f t="shared" si="216"/>
        <v>146589.69000000003</v>
      </c>
      <c r="CZ60" s="155">
        <f t="shared" si="216"/>
        <v>150254.43000000002</v>
      </c>
      <c r="DA60" s="155">
        <f t="shared" si="216"/>
        <v>154010.79</v>
      </c>
      <c r="DB60" s="155">
        <f t="shared" si="216"/>
        <v>157861.06</v>
      </c>
      <c r="DC60" s="155">
        <f t="shared" si="216"/>
        <v>161807.59</v>
      </c>
      <c r="DD60" s="155">
        <f t="shared" si="216"/>
        <v>165852.78</v>
      </c>
      <c r="DE60" s="155">
        <f t="shared" si="216"/>
        <v>169999.1</v>
      </c>
      <c r="DF60" s="155">
        <f t="shared" si="216"/>
        <v>174249.08000000002</v>
      </c>
      <c r="DG60" s="155">
        <f t="shared" si="216"/>
        <v>178605.31000000003</v>
      </c>
      <c r="DH60" s="400">
        <f>$DM$28*'1.piel'!I59</f>
        <v>484030.97</v>
      </c>
      <c r="DI60" s="243">
        <f t="shared" si="215"/>
        <v>484030.97</v>
      </c>
      <c r="DJ60" s="248">
        <f t="shared" si="175"/>
        <v>334.0448378191856</v>
      </c>
      <c r="DK60" s="382">
        <v>0</v>
      </c>
      <c r="DL60">
        <f>DH60/'1.piel'!G59</f>
        <v>334.0448378191856</v>
      </c>
    </row>
    <row r="61" spans="2:116" x14ac:dyDescent="0.25">
      <c r="B61" s="52">
        <v>89</v>
      </c>
      <c r="C61" s="53" t="s">
        <v>127</v>
      </c>
      <c r="D61" s="36" t="s">
        <v>265</v>
      </c>
      <c r="E61" s="110">
        <v>1085</v>
      </c>
      <c r="F61" s="52">
        <v>762</v>
      </c>
      <c r="G61" s="36">
        <v>880</v>
      </c>
      <c r="H61" s="99">
        <f t="shared" si="114"/>
        <v>1642</v>
      </c>
      <c r="I61" s="94">
        <f t="shared" si="115"/>
        <v>0.8923884514435696</v>
      </c>
      <c r="J61" s="103">
        <v>680</v>
      </c>
      <c r="K61" s="98">
        <f t="shared" si="116"/>
        <v>0.10761154855643044</v>
      </c>
      <c r="L61" s="99">
        <f t="shared" si="117"/>
        <v>82</v>
      </c>
      <c r="M61" s="174">
        <f t="shared" si="118"/>
        <v>1.7958000000000001</v>
      </c>
      <c r="N61" s="64">
        <f t="shared" si="119"/>
        <v>4.0405499999999996</v>
      </c>
      <c r="O61" s="64">
        <f t="shared" si="120"/>
        <v>1.7958000000000001</v>
      </c>
      <c r="P61" s="64">
        <f t="shared" si="121"/>
        <v>0.35915999999999998</v>
      </c>
      <c r="Q61" s="64">
        <f t="shared" si="122"/>
        <v>5.9859999999999997E-2</v>
      </c>
      <c r="R61" s="64">
        <f t="shared" si="123"/>
        <v>0.38908999999999999</v>
      </c>
      <c r="S61" s="64">
        <f t="shared" si="124"/>
        <v>0.65846000000000005</v>
      </c>
      <c r="T61" s="64">
        <f t="shared" si="125"/>
        <v>0.44895000000000002</v>
      </c>
      <c r="U61" s="64">
        <f t="shared" si="126"/>
        <v>8.9789999999999995E-2</v>
      </c>
      <c r="V61" s="64">
        <f t="shared" si="127"/>
        <v>1.4964999999999999E-2</v>
      </c>
      <c r="W61" s="64">
        <f t="shared" si="128"/>
        <v>0.56867000000000001</v>
      </c>
      <c r="X61" s="64">
        <f t="shared" si="129"/>
        <v>0.95775999999999994</v>
      </c>
      <c r="Y61" s="64">
        <f t="shared" si="130"/>
        <v>0.44895000000000002</v>
      </c>
      <c r="Z61" s="64">
        <f t="shared" si="131"/>
        <v>0</v>
      </c>
      <c r="AA61" s="64">
        <f t="shared" si="132"/>
        <v>0</v>
      </c>
      <c r="AB61" s="64">
        <f t="shared" si="133"/>
        <v>0.83804000000000001</v>
      </c>
      <c r="AC61" s="64">
        <f t="shared" si="134"/>
        <v>2.4243299999999999</v>
      </c>
      <c r="AD61" s="64">
        <f t="shared" si="135"/>
        <v>0.89790000000000003</v>
      </c>
      <c r="AE61" s="64">
        <f t="shared" si="136"/>
        <v>0.26937</v>
      </c>
      <c r="AF61" s="64">
        <f t="shared" si="137"/>
        <v>4.4894999999999997E-2</v>
      </c>
      <c r="AG61" s="65">
        <f t="shared" si="138"/>
        <v>34.164000000000001</v>
      </c>
      <c r="AH61" s="65">
        <f t="shared" si="139"/>
        <v>76.869</v>
      </c>
      <c r="AI61" s="65">
        <f t="shared" si="140"/>
        <v>34.164000000000001</v>
      </c>
      <c r="AJ61" s="65">
        <f t="shared" si="141"/>
        <v>6.8327999999999998</v>
      </c>
      <c r="AK61" s="65">
        <f t="shared" si="142"/>
        <v>1.1388</v>
      </c>
      <c r="AL61" s="66">
        <v>0.9</v>
      </c>
      <c r="AM61" s="66">
        <v>0.75</v>
      </c>
      <c r="AN61" s="66">
        <v>0.9</v>
      </c>
      <c r="AO61" s="66">
        <v>0.1</v>
      </c>
      <c r="AP61" s="66">
        <v>0.1</v>
      </c>
      <c r="AQ61" s="65">
        <f t="shared" si="143"/>
        <v>31.097781000000005</v>
      </c>
      <c r="AR61" s="65">
        <f t="shared" si="144"/>
        <v>58.145595</v>
      </c>
      <c r="AS61" s="65">
        <f t="shared" si="145"/>
        <v>31.151655000000005</v>
      </c>
      <c r="AT61" s="65">
        <f t="shared" si="146"/>
        <v>0.69225899999999996</v>
      </c>
      <c r="AU61" s="65">
        <f t="shared" si="147"/>
        <v>0.11537649999999999</v>
      </c>
      <c r="AV61" s="65">
        <f t="shared" si="148"/>
        <v>3.4553089999999997</v>
      </c>
      <c r="AW61" s="65">
        <f t="shared" si="149"/>
        <v>19.381865000000005</v>
      </c>
      <c r="AX61" s="65">
        <f t="shared" si="150"/>
        <v>3.4612949999999998</v>
      </c>
      <c r="AY61" s="65">
        <f t="shared" si="151"/>
        <v>6.2303309999999996</v>
      </c>
      <c r="AZ61" s="65">
        <f t="shared" si="152"/>
        <v>1.0383884999999999</v>
      </c>
      <c r="BA61" s="67">
        <f t="shared" si="153"/>
        <v>35.959800000000001</v>
      </c>
      <c r="BB61" s="67">
        <f t="shared" si="154"/>
        <v>80.909549999999996</v>
      </c>
      <c r="BC61" s="67">
        <f t="shared" si="155"/>
        <v>35.959800000000001</v>
      </c>
      <c r="BD61" s="68">
        <f t="shared" si="156"/>
        <v>7.1919599999999999</v>
      </c>
      <c r="BE61" s="68">
        <f t="shared" si="157"/>
        <v>1.1986600000000001</v>
      </c>
      <c r="BF61" s="67">
        <f t="shared" si="158"/>
        <v>4.2933490000000001</v>
      </c>
      <c r="BG61" s="67">
        <f t="shared" si="159"/>
        <v>21.806195000000006</v>
      </c>
      <c r="BH61" s="67">
        <f t="shared" si="160"/>
        <v>4.3591949999999997</v>
      </c>
      <c r="BI61" s="68">
        <f t="shared" si="161"/>
        <v>6.499701</v>
      </c>
      <c r="BJ61" s="68">
        <f t="shared" si="162"/>
        <v>1.0832834999999998</v>
      </c>
      <c r="BK61" s="67">
        <f t="shared" si="163"/>
        <v>31.666451000000006</v>
      </c>
      <c r="BL61" s="67">
        <f t="shared" si="164"/>
        <v>59.103355000000001</v>
      </c>
      <c r="BM61" s="67">
        <f t="shared" si="165"/>
        <v>31.600605000000005</v>
      </c>
      <c r="BN61" s="68">
        <f t="shared" si="166"/>
        <v>0.69225899999999996</v>
      </c>
      <c r="BO61" s="187">
        <f t="shared" si="167"/>
        <v>0.11537649999999999</v>
      </c>
      <c r="BP61" s="157"/>
      <c r="BQ61" s="148"/>
      <c r="BR61" s="151">
        <v>101640</v>
      </c>
      <c r="BS61" s="150">
        <f t="shared" ref="BS61:CA61" si="217">BR61+ROUND(BR61*BS$6,2)</f>
        <v>128269.68</v>
      </c>
      <c r="BT61" s="150">
        <f t="shared" si="217"/>
        <v>146740.51</v>
      </c>
      <c r="BU61" s="150">
        <f t="shared" si="217"/>
        <v>134267.57</v>
      </c>
      <c r="BV61" s="150">
        <f t="shared" si="217"/>
        <v>120303.74</v>
      </c>
      <c r="BW61" s="150">
        <f t="shared" si="217"/>
        <v>126318.93000000001</v>
      </c>
      <c r="BX61" s="150">
        <f t="shared" si="217"/>
        <v>145140.45000000001</v>
      </c>
      <c r="BY61" s="150">
        <f t="shared" si="217"/>
        <v>145721.01</v>
      </c>
      <c r="BZ61" s="155">
        <f t="shared" si="217"/>
        <v>149072.59</v>
      </c>
      <c r="CA61" s="415">
        <f t="shared" si="217"/>
        <v>152799.4</v>
      </c>
      <c r="CB61" s="203">
        <f t="shared" si="168"/>
        <v>14515.942999999999</v>
      </c>
      <c r="CC61" s="198">
        <f>CA61+ROUND(CA61*CC$6,2)</f>
        <v>156619.38999999998</v>
      </c>
      <c r="CD61" s="206">
        <f t="shared" si="169"/>
        <v>14878.842049999999</v>
      </c>
      <c r="CE61" s="150">
        <f>CC61+ROUND(CC61*CE$6,2)</f>
        <v>160534.87</v>
      </c>
      <c r="CF61" s="206">
        <f t="shared" si="170"/>
        <v>15250.81265</v>
      </c>
      <c r="CG61" s="150">
        <f>CE61+ROUND(CE61*CG$6,2)</f>
        <v>164548.24</v>
      </c>
      <c r="CH61" s="206">
        <f t="shared" si="171"/>
        <v>15632.0828</v>
      </c>
      <c r="CI61" s="150">
        <f>CG61+ROUND(CG61*CI$6,2)</f>
        <v>168661.94999999998</v>
      </c>
      <c r="CJ61" s="206">
        <f t="shared" si="172"/>
        <v>16022.885249999999</v>
      </c>
      <c r="CK61" s="150">
        <f>CI61+ROUND(CI61*CK$6,2)</f>
        <v>172878.49999999997</v>
      </c>
      <c r="CL61" s="206">
        <f t="shared" si="173"/>
        <v>16423.457499999997</v>
      </c>
      <c r="CM61" s="150">
        <f>CK61+ROUND(CK61*CM$6,2)</f>
        <v>177200.45999999996</v>
      </c>
      <c r="CN61" s="150">
        <f>CM61+ROUND(CM61*CN$6,2)</f>
        <v>181630.46999999997</v>
      </c>
      <c r="CO61" s="157"/>
      <c r="CP61" s="148"/>
      <c r="CQ61" s="151">
        <v>0</v>
      </c>
      <c r="CR61" s="150">
        <f>CQ61+ROUND(CQ61*CR$6,2)</f>
        <v>0</v>
      </c>
      <c r="CS61" s="150">
        <f>CR61+ROUND(CR61*CS$6,2)</f>
        <v>0</v>
      </c>
      <c r="CT61" s="150">
        <f>CS61+ROUND(CS61*CT$6,2)</f>
        <v>0</v>
      </c>
      <c r="CU61" s="150">
        <f>CT61+ROUND(CT61*CU$6,2)</f>
        <v>0</v>
      </c>
      <c r="CV61" s="150">
        <f t="shared" si="187"/>
        <v>0</v>
      </c>
      <c r="CW61" s="150">
        <f t="shared" ref="CW61:DG61" si="218">CV61+ROUND(CV61*CW$6,2)</f>
        <v>0</v>
      </c>
      <c r="CX61" s="150">
        <f t="shared" si="218"/>
        <v>0</v>
      </c>
      <c r="CY61" s="150">
        <f t="shared" si="218"/>
        <v>0</v>
      </c>
      <c r="CZ61" s="155">
        <f t="shared" si="218"/>
        <v>0</v>
      </c>
      <c r="DA61" s="155">
        <f t="shared" si="218"/>
        <v>0</v>
      </c>
      <c r="DB61" s="155">
        <f t="shared" si="218"/>
        <v>0</v>
      </c>
      <c r="DC61" s="155">
        <f t="shared" si="218"/>
        <v>0</v>
      </c>
      <c r="DD61" s="155">
        <f t="shared" si="218"/>
        <v>0</v>
      </c>
      <c r="DE61" s="155">
        <f t="shared" si="218"/>
        <v>0</v>
      </c>
      <c r="DF61" s="155">
        <f t="shared" si="218"/>
        <v>0</v>
      </c>
      <c r="DG61" s="155">
        <f t="shared" si="218"/>
        <v>0</v>
      </c>
      <c r="DH61" s="236">
        <v>0</v>
      </c>
      <c r="DI61" s="243">
        <f t="shared" si="199"/>
        <v>152799.4</v>
      </c>
      <c r="DJ61" s="248">
        <f t="shared" si="175"/>
        <v>1863.4073170731706</v>
      </c>
      <c r="DK61" s="382">
        <f>CA61/'1.piel'!M60</f>
        <v>1863.4073170731706</v>
      </c>
      <c r="DL61">
        <f>DH61/'1.piel'!G60</f>
        <v>0</v>
      </c>
    </row>
    <row r="62" spans="2:116" s="3" customFormat="1" ht="15.75" x14ac:dyDescent="0.25">
      <c r="B62" s="515" t="s">
        <v>368</v>
      </c>
      <c r="C62" s="516"/>
      <c r="D62" s="516"/>
      <c r="E62" s="516"/>
      <c r="F62" s="516"/>
      <c r="G62" s="516"/>
      <c r="H62" s="516"/>
      <c r="I62" s="516"/>
      <c r="J62" s="516"/>
      <c r="K62" s="516"/>
      <c r="L62" s="517"/>
      <c r="M62" s="372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373"/>
      <c r="AM62" s="373"/>
      <c r="AN62" s="373"/>
      <c r="AO62" s="373"/>
      <c r="AP62" s="373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374"/>
      <c r="BB62" s="374"/>
      <c r="BC62" s="374"/>
      <c r="BD62" s="375"/>
      <c r="BE62" s="375"/>
      <c r="BF62" s="374"/>
      <c r="BG62" s="374"/>
      <c r="BH62" s="374"/>
      <c r="BI62" s="375"/>
      <c r="BJ62" s="375"/>
      <c r="BK62" s="374"/>
      <c r="BL62" s="374"/>
      <c r="BM62" s="374"/>
      <c r="BN62" s="375"/>
      <c r="BO62" s="376"/>
      <c r="BP62" s="377"/>
      <c r="BQ62" s="375"/>
      <c r="BR62" s="69"/>
      <c r="BS62" s="69"/>
      <c r="BT62" s="69"/>
      <c r="BU62" s="69"/>
      <c r="BV62" s="69"/>
      <c r="BW62" s="69"/>
      <c r="BX62" s="69"/>
      <c r="BY62" s="69"/>
      <c r="BZ62" s="104"/>
      <c r="CA62" s="383">
        <f>SUM(CA45:CA61)</f>
        <v>15809005.720000003</v>
      </c>
      <c r="CB62" s="383">
        <f t="shared" ref="CB62:CG62" si="219">SUM(CB45:CB61)</f>
        <v>1501855.5434000001</v>
      </c>
      <c r="CC62" s="383">
        <f t="shared" si="219"/>
        <v>16172918.450000001</v>
      </c>
      <c r="CD62" s="383">
        <f t="shared" si="219"/>
        <v>1536427.2527500005</v>
      </c>
      <c r="CE62" s="383">
        <f t="shared" si="219"/>
        <v>16545208.789999999</v>
      </c>
      <c r="CF62" s="383">
        <f t="shared" si="219"/>
        <v>1571794.8350499999</v>
      </c>
      <c r="CG62" s="383">
        <f t="shared" si="219"/>
        <v>16926069.66</v>
      </c>
      <c r="CH62" s="383">
        <f t="shared" ref="CH62" si="220">SUM(CH45:CH61)</f>
        <v>1607976.6177000001</v>
      </c>
      <c r="CI62" s="383">
        <f t="shared" ref="CI62" si="221">SUM(CI45:CI61)</f>
        <v>17315698.359999999</v>
      </c>
      <c r="CJ62" s="383">
        <f t="shared" ref="CJ62" si="222">SUM(CJ45:CJ61)</f>
        <v>1644991.3442000002</v>
      </c>
      <c r="CK62" s="383">
        <f t="shared" ref="CK62" si="223">SUM(CK45:CK61)</f>
        <v>17714296.75</v>
      </c>
      <c r="CL62" s="383">
        <f t="shared" ref="CL62:CM62" si="224">SUM(CL45:CL61)</f>
        <v>1682858.1912500001</v>
      </c>
      <c r="CM62" s="383">
        <f t="shared" si="224"/>
        <v>18122071.350000005</v>
      </c>
      <c r="CN62" s="383">
        <f t="shared" ref="CN62" si="225">SUM(CN45:CN61)</f>
        <v>18539233.389999997</v>
      </c>
      <c r="CO62" s="377"/>
      <c r="CP62" s="375"/>
      <c r="CQ62" s="69"/>
      <c r="CR62" s="69"/>
      <c r="CS62" s="69"/>
      <c r="CT62" s="69"/>
      <c r="CU62" s="69"/>
      <c r="CV62" s="69"/>
      <c r="CW62" s="69"/>
      <c r="CX62" s="69"/>
      <c r="CY62" s="69"/>
      <c r="CZ62" s="384">
        <f>SUM(CZ45:CZ61)</f>
        <v>14678197.92</v>
      </c>
      <c r="DA62" s="384">
        <f t="shared" ref="DA62:DG62" si="226">SUM(DA45:DA61)</f>
        <v>15045152.869999997</v>
      </c>
      <c r="DB62" s="384">
        <f t="shared" si="226"/>
        <v>15421281.699999997</v>
      </c>
      <c r="DC62" s="384">
        <f t="shared" si="226"/>
        <v>15806813.75</v>
      </c>
      <c r="DD62" s="384">
        <f t="shared" si="226"/>
        <v>16201984.1</v>
      </c>
      <c r="DE62" s="384">
        <f t="shared" si="226"/>
        <v>16607033.699999997</v>
      </c>
      <c r="DF62" s="384">
        <f t="shared" si="226"/>
        <v>17022209.539999995</v>
      </c>
      <c r="DG62" s="384">
        <f t="shared" si="226"/>
        <v>17447764.789999992</v>
      </c>
      <c r="DH62" s="237"/>
      <c r="DI62" s="379"/>
      <c r="DJ62" s="380"/>
      <c r="DK62" s="382"/>
    </row>
    <row r="63" spans="2:116" s="3" customFormat="1" ht="21.75" thickBot="1" x14ac:dyDescent="0.4">
      <c r="B63" s="512" t="s">
        <v>365</v>
      </c>
      <c r="C63" s="513"/>
      <c r="D63" s="513"/>
      <c r="E63" s="513"/>
      <c r="F63" s="513"/>
      <c r="G63" s="513"/>
      <c r="H63" s="513"/>
      <c r="I63" s="513"/>
      <c r="J63" s="513"/>
      <c r="K63" s="513"/>
      <c r="L63" s="514"/>
      <c r="M63" s="372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373"/>
      <c r="AM63" s="373"/>
      <c r="AN63" s="373"/>
      <c r="AO63" s="373"/>
      <c r="AP63" s="373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374"/>
      <c r="BB63" s="374"/>
      <c r="BC63" s="374"/>
      <c r="BD63" s="375"/>
      <c r="BE63" s="375"/>
      <c r="BF63" s="374"/>
      <c r="BG63" s="374"/>
      <c r="BH63" s="374"/>
      <c r="BI63" s="375"/>
      <c r="BJ63" s="375"/>
      <c r="BK63" s="374"/>
      <c r="BL63" s="374"/>
      <c r="BM63" s="374"/>
      <c r="BN63" s="375"/>
      <c r="BO63" s="376"/>
      <c r="BP63" s="377"/>
      <c r="BQ63" s="375"/>
      <c r="BR63" s="69"/>
      <c r="BS63" s="69"/>
      <c r="BT63" s="69"/>
      <c r="BU63" s="69"/>
      <c r="BV63" s="69"/>
      <c r="BW63" s="69"/>
      <c r="BX63" s="69"/>
      <c r="BY63" s="69"/>
      <c r="BZ63" s="104"/>
      <c r="CA63" s="179"/>
      <c r="CB63" s="335"/>
      <c r="CC63" s="119"/>
      <c r="CD63" s="378"/>
      <c r="CE63" s="69"/>
      <c r="CF63" s="378"/>
      <c r="CG63" s="69"/>
      <c r="CH63" s="378"/>
      <c r="CI63" s="69"/>
      <c r="CJ63" s="378"/>
      <c r="CK63" s="69"/>
      <c r="CL63" s="378"/>
      <c r="CM63" s="69"/>
      <c r="CN63" s="69"/>
      <c r="CO63" s="377"/>
      <c r="CP63" s="375"/>
      <c r="CQ63" s="69"/>
      <c r="CR63" s="69"/>
      <c r="CS63" s="69"/>
      <c r="CT63" s="69"/>
      <c r="CU63" s="69"/>
      <c r="CV63" s="69"/>
      <c r="CW63" s="69"/>
      <c r="CX63" s="69"/>
      <c r="CY63" s="69"/>
      <c r="CZ63" s="104"/>
      <c r="DA63" s="104"/>
      <c r="DB63" s="104"/>
      <c r="DC63" s="104"/>
      <c r="DD63" s="104"/>
      <c r="DE63" s="104"/>
      <c r="DF63" s="104"/>
      <c r="DG63" s="104"/>
      <c r="DH63" s="237"/>
      <c r="DI63" s="379"/>
      <c r="DJ63" s="380"/>
      <c r="DK63" s="382"/>
    </row>
    <row r="64" spans="2:116" x14ac:dyDescent="0.25">
      <c r="B64" s="52">
        <v>4</v>
      </c>
      <c r="C64" s="53" t="s">
        <v>48</v>
      </c>
      <c r="D64" s="36" t="s">
        <v>255</v>
      </c>
      <c r="E64" s="110">
        <v>63534</v>
      </c>
      <c r="F64" s="178">
        <v>60585</v>
      </c>
      <c r="G64" s="63">
        <v>5049</v>
      </c>
      <c r="H64" s="99">
        <f t="shared" si="114"/>
        <v>65634</v>
      </c>
      <c r="I64" s="94">
        <f t="shared" si="115"/>
        <v>0.90325988280927627</v>
      </c>
      <c r="J64" s="89">
        <v>54724</v>
      </c>
      <c r="K64" s="98">
        <f t="shared" si="116"/>
        <v>9.6740117190723771E-2</v>
      </c>
      <c r="L64" s="99">
        <f t="shared" si="117"/>
        <v>5861</v>
      </c>
      <c r="M64" s="174">
        <f t="shared" si="118"/>
        <v>128.35589999999999</v>
      </c>
      <c r="N64" s="64">
        <f t="shared" si="119"/>
        <v>288.80077499999999</v>
      </c>
      <c r="O64" s="64">
        <f t="shared" si="120"/>
        <v>128.35589999999999</v>
      </c>
      <c r="P64" s="64">
        <f t="shared" si="121"/>
        <v>25.67118</v>
      </c>
      <c r="Q64" s="64">
        <f t="shared" si="122"/>
        <v>4.2785299999999999</v>
      </c>
      <c r="R64" s="64">
        <f t="shared" si="123"/>
        <v>27.810445000000001</v>
      </c>
      <c r="S64" s="64">
        <f t="shared" si="124"/>
        <v>47.063830000000003</v>
      </c>
      <c r="T64" s="64">
        <f t="shared" si="125"/>
        <v>32.088974999999998</v>
      </c>
      <c r="U64" s="64">
        <f t="shared" si="126"/>
        <v>6.4177949999999999</v>
      </c>
      <c r="V64" s="64">
        <f t="shared" si="127"/>
        <v>1.0696325</v>
      </c>
      <c r="W64" s="64">
        <f t="shared" si="128"/>
        <v>40.646034999999998</v>
      </c>
      <c r="X64" s="64">
        <f t="shared" si="129"/>
        <v>68.456479999999999</v>
      </c>
      <c r="Y64" s="64">
        <f t="shared" si="130"/>
        <v>32.088974999999998</v>
      </c>
      <c r="Z64" s="64">
        <f t="shared" si="131"/>
        <v>0</v>
      </c>
      <c r="AA64" s="64">
        <f t="shared" si="132"/>
        <v>0</v>
      </c>
      <c r="AB64" s="64">
        <f t="shared" si="133"/>
        <v>59.899419999999999</v>
      </c>
      <c r="AC64" s="64">
        <f t="shared" si="134"/>
        <v>173.28046499999999</v>
      </c>
      <c r="AD64" s="64">
        <f t="shared" si="135"/>
        <v>64.177949999999996</v>
      </c>
      <c r="AE64" s="64">
        <f t="shared" si="136"/>
        <v>19.253385000000002</v>
      </c>
      <c r="AF64" s="64">
        <f t="shared" si="137"/>
        <v>3.2088975</v>
      </c>
      <c r="AG64" s="65">
        <f t="shared" si="138"/>
        <v>1309.0287000000001</v>
      </c>
      <c r="AH64" s="65">
        <f t="shared" si="139"/>
        <v>2945.3145749999999</v>
      </c>
      <c r="AI64" s="65">
        <f t="shared" si="140"/>
        <v>1309.0287000000001</v>
      </c>
      <c r="AJ64" s="65">
        <f t="shared" si="141"/>
        <v>261.80574000000001</v>
      </c>
      <c r="AK64" s="65">
        <f t="shared" si="142"/>
        <v>43.63429</v>
      </c>
      <c r="AL64" s="66">
        <v>0.9</v>
      </c>
      <c r="AM64" s="66">
        <v>0.75</v>
      </c>
      <c r="AN64" s="66">
        <v>0.9</v>
      </c>
      <c r="AO64" s="66">
        <v>0.1</v>
      </c>
      <c r="AP64" s="66">
        <v>0.1</v>
      </c>
      <c r="AQ64" s="65">
        <f t="shared" si="143"/>
        <v>1203.1552305000002</v>
      </c>
      <c r="AR64" s="65">
        <f t="shared" si="144"/>
        <v>2244.2838037500001</v>
      </c>
      <c r="AS64" s="65">
        <f t="shared" si="145"/>
        <v>1207.0059074999999</v>
      </c>
      <c r="AT64" s="65">
        <f t="shared" si="146"/>
        <v>26.822353500000006</v>
      </c>
      <c r="AU64" s="65">
        <f t="shared" si="147"/>
        <v>4.4703922499999997</v>
      </c>
      <c r="AV64" s="65">
        <f t="shared" si="148"/>
        <v>133.6839144999999</v>
      </c>
      <c r="AW64" s="65">
        <f t="shared" si="149"/>
        <v>748.09460124999987</v>
      </c>
      <c r="AX64" s="65">
        <f t="shared" si="150"/>
        <v>134.11176750000004</v>
      </c>
      <c r="AY64" s="65">
        <f t="shared" si="151"/>
        <v>241.40118150000001</v>
      </c>
      <c r="AZ64" s="65">
        <f t="shared" si="152"/>
        <v>40.233530250000001</v>
      </c>
      <c r="BA64" s="67">
        <f t="shared" si="153"/>
        <v>1437.3846000000001</v>
      </c>
      <c r="BB64" s="67">
        <f t="shared" si="154"/>
        <v>3234.11535</v>
      </c>
      <c r="BC64" s="67">
        <f t="shared" si="155"/>
        <v>1437.3846000000001</v>
      </c>
      <c r="BD64" s="68">
        <f t="shared" si="156"/>
        <v>287.47692000000001</v>
      </c>
      <c r="BE64" s="68">
        <f t="shared" si="157"/>
        <v>47.912819999999996</v>
      </c>
      <c r="BF64" s="67">
        <f t="shared" si="158"/>
        <v>193.58333449999989</v>
      </c>
      <c r="BG64" s="67">
        <f t="shared" si="159"/>
        <v>921.37506624999992</v>
      </c>
      <c r="BH64" s="67">
        <f t="shared" si="160"/>
        <v>198.28971750000005</v>
      </c>
      <c r="BI64" s="68">
        <f t="shared" si="161"/>
        <v>260.65456649999999</v>
      </c>
      <c r="BJ64" s="68">
        <f t="shared" si="162"/>
        <v>43.44242775</v>
      </c>
      <c r="BK64" s="67">
        <f t="shared" si="163"/>
        <v>1243.8012655000002</v>
      </c>
      <c r="BL64" s="67">
        <f t="shared" si="164"/>
        <v>2312.7402837499999</v>
      </c>
      <c r="BM64" s="67">
        <f t="shared" si="165"/>
        <v>1239.0948824999998</v>
      </c>
      <c r="BN64" s="68">
        <f t="shared" si="166"/>
        <v>26.822353500000006</v>
      </c>
      <c r="BO64" s="187">
        <f t="shared" si="167"/>
        <v>4.4703922499999997</v>
      </c>
      <c r="BP64" s="157"/>
      <c r="BQ64" s="148"/>
      <c r="BR64" s="148"/>
      <c r="BS64" s="148"/>
      <c r="BT64" s="148"/>
      <c r="BU64" s="148"/>
      <c r="BV64" s="151">
        <v>5629576</v>
      </c>
      <c r="BW64" s="150">
        <f t="shared" ref="BW64:BW76" si="227">BV64+ROUND(BV64*$BW$6,2)</f>
        <v>5911054.7999999998</v>
      </c>
      <c r="BX64" s="150">
        <f t="shared" ref="BX64:BX76" si="228">BW64+ROUND(BW64*$BX$6,2)</f>
        <v>6791801.9699999997</v>
      </c>
      <c r="BY64" s="150">
        <f t="shared" ref="BY64:BY76" si="229">BX64+ROUND(BX64*$BY$6,2)</f>
        <v>6818969.1799999997</v>
      </c>
      <c r="BZ64" s="155">
        <f t="shared" ref="BZ64:CA76" si="230">BY64+ROUND(BY64*$BZ$6,2)</f>
        <v>6975805.4699999997</v>
      </c>
      <c r="CA64" s="179">
        <f t="shared" si="230"/>
        <v>7136249</v>
      </c>
      <c r="CB64" s="203">
        <f t="shared" si="168"/>
        <v>677943.65500000003</v>
      </c>
      <c r="CC64" s="198">
        <f t="shared" ref="CC64:CC76" si="231">CA64+ROUND(CA64*$BZ$6,2)</f>
        <v>7300382.7300000004</v>
      </c>
      <c r="CD64" s="206">
        <f t="shared" si="169"/>
        <v>693536.35935000004</v>
      </c>
      <c r="CE64" s="150">
        <f t="shared" ref="CE64:CE76" si="232">CC64+ROUND(CC64*$BZ$6,2)</f>
        <v>7468291.5300000003</v>
      </c>
      <c r="CF64" s="206">
        <f t="shared" si="170"/>
        <v>709487.69535000005</v>
      </c>
      <c r="CG64" s="150">
        <f t="shared" ref="CG64:CG76" si="233">CE64+ROUND(CE64*$BZ$6,2)</f>
        <v>7640062.2400000002</v>
      </c>
      <c r="CH64" s="206">
        <f t="shared" si="171"/>
        <v>725805.91280000005</v>
      </c>
      <c r="CI64" s="150">
        <f t="shared" ref="CI64:CI76" si="234">CG64+ROUND(CG64*$BZ$6,2)</f>
        <v>7815783.6699999999</v>
      </c>
      <c r="CJ64" s="206">
        <f t="shared" si="172"/>
        <v>742499.44865000003</v>
      </c>
      <c r="CK64" s="150">
        <f t="shared" ref="CK64:CK76" si="235">CI64+ROUND(CI64*$BZ$6,2)</f>
        <v>7995546.6899999995</v>
      </c>
      <c r="CL64" s="206">
        <f t="shared" si="173"/>
        <v>759576.93554999994</v>
      </c>
      <c r="CM64" s="150">
        <f t="shared" ref="CM64:CM76" si="236">CK64+ROUND(CK64*$BZ$6,2)</f>
        <v>8179444.2599999998</v>
      </c>
      <c r="CN64" s="150">
        <f t="shared" ref="CN64:CN76" si="237">CM64+ROUND(CM64*$BZ$6,2)</f>
        <v>8367571.4799999995</v>
      </c>
      <c r="CO64" s="157"/>
      <c r="CP64" s="148"/>
      <c r="CQ64" s="148"/>
      <c r="CR64" s="148"/>
      <c r="CS64" s="148"/>
      <c r="CT64" s="148"/>
      <c r="CU64" s="151">
        <v>1454456</v>
      </c>
      <c r="CV64" s="150">
        <f t="shared" si="187"/>
        <v>1527178.8</v>
      </c>
      <c r="CW64" s="150">
        <f t="shared" ref="CW64:DG64" si="238">CV64+ROUND(CV64*CW$6,2)</f>
        <v>1754728.44</v>
      </c>
      <c r="CX64" s="150">
        <f t="shared" si="238"/>
        <v>1761747.3499999999</v>
      </c>
      <c r="CY64" s="150">
        <f t="shared" si="238"/>
        <v>1802267.5399999998</v>
      </c>
      <c r="CZ64" s="155">
        <f t="shared" si="238"/>
        <v>1847324.2299999997</v>
      </c>
      <c r="DA64" s="155">
        <f t="shared" si="238"/>
        <v>1893507.3399999999</v>
      </c>
      <c r="DB64" s="155">
        <f t="shared" si="238"/>
        <v>1940845.0199999998</v>
      </c>
      <c r="DC64" s="155">
        <f t="shared" si="238"/>
        <v>1989366.1499999997</v>
      </c>
      <c r="DD64" s="155">
        <f t="shared" si="238"/>
        <v>2039100.2999999996</v>
      </c>
      <c r="DE64" s="155">
        <f t="shared" si="238"/>
        <v>2090077.8099999996</v>
      </c>
      <c r="DF64" s="155">
        <f t="shared" si="238"/>
        <v>2142329.7599999998</v>
      </c>
      <c r="DG64" s="155">
        <f t="shared" si="238"/>
        <v>2195888</v>
      </c>
      <c r="DH64" s="236">
        <v>0</v>
      </c>
      <c r="DI64" s="243">
        <f t="shared" si="199"/>
        <v>7136249</v>
      </c>
      <c r="DJ64" s="248">
        <f t="shared" si="175"/>
        <v>1217.5821532161747</v>
      </c>
      <c r="DK64" s="382">
        <f>CA64/'1.piel'!M63</f>
        <v>1217.5821532161747</v>
      </c>
      <c r="DL64">
        <f>DH64/'1.piel'!G63</f>
        <v>0</v>
      </c>
    </row>
    <row r="65" spans="2:116" x14ac:dyDescent="0.25">
      <c r="B65" s="52">
        <v>5</v>
      </c>
      <c r="C65" s="53" t="s">
        <v>49</v>
      </c>
      <c r="D65" s="36" t="s">
        <v>255</v>
      </c>
      <c r="E65" s="110">
        <v>56307</v>
      </c>
      <c r="F65" s="178">
        <f>'1.piel'!G64</f>
        <v>55377</v>
      </c>
      <c r="G65" s="178">
        <f>'1.piel'!H64</f>
        <v>0</v>
      </c>
      <c r="H65" s="178">
        <f>'1.piel'!I64</f>
        <v>55377</v>
      </c>
      <c r="I65" s="98">
        <f>'1.piel'!J64</f>
        <v>0.79</v>
      </c>
      <c r="J65" s="178">
        <f>'1.piel'!K64</f>
        <v>43748</v>
      </c>
      <c r="K65" s="98">
        <f>'1.piel'!L64</f>
        <v>0.20999999999999996</v>
      </c>
      <c r="L65" s="178">
        <f>'1.piel'!M64</f>
        <v>11629</v>
      </c>
      <c r="M65" s="178">
        <f>'1.piel'!N64</f>
        <v>254.67509999999999</v>
      </c>
      <c r="N65" s="178">
        <f>'1.piel'!O64</f>
        <v>466.90435000000002</v>
      </c>
      <c r="O65" s="178">
        <f>'1.piel'!P64</f>
        <v>297.12094999999999</v>
      </c>
      <c r="P65" s="178">
        <f>'1.piel'!Q64</f>
        <v>42.44585</v>
      </c>
      <c r="Q65" s="178">
        <f>'1.piel'!R64</f>
        <v>8.4891699999999997</v>
      </c>
      <c r="R65" s="178">
        <f>'1.piel'!S64</f>
        <v>18.209269650000003</v>
      </c>
      <c r="S65" s="178">
        <f>'1.piel'!T64</f>
        <v>25.212834900000001</v>
      </c>
      <c r="T65" s="178">
        <f>'1.piel'!U64</f>
        <v>23.81212185</v>
      </c>
      <c r="U65" s="178">
        <f>'1.piel'!V64</f>
        <v>3.5017826250000001</v>
      </c>
      <c r="V65" s="178">
        <f>'1.piel'!W64</f>
        <v>0.70035652500000001</v>
      </c>
      <c r="W65" s="178">
        <f>'1.piel'!X64</f>
        <v>26.613547950000001</v>
      </c>
      <c r="X65" s="178">
        <f>'1.piel'!Y64</f>
        <v>36.418539300000006</v>
      </c>
      <c r="Y65" s="178">
        <f>'1.piel'!Z64</f>
        <v>25.212834900000001</v>
      </c>
      <c r="Z65" s="178">
        <f>'1.piel'!AA64</f>
        <v>0</v>
      </c>
      <c r="AA65" s="178">
        <f>'1.piel'!AB64</f>
        <v>0</v>
      </c>
      <c r="AB65" s="178">
        <f>'1.piel'!AC64</f>
        <v>209.85228239999998</v>
      </c>
      <c r="AC65" s="178">
        <f>'1.piel'!AD64</f>
        <v>405.27297579999998</v>
      </c>
      <c r="AD65" s="178">
        <f>'1.piel'!AE64</f>
        <v>248.09599325000002</v>
      </c>
      <c r="AE65" s="178">
        <f>'1.piel'!AF64</f>
        <v>38.944067375000003</v>
      </c>
      <c r="AF65" s="178">
        <f>'1.piel'!AG64</f>
        <v>7.7888134749999995</v>
      </c>
      <c r="AG65" s="178">
        <f>'1.piel'!AH64</f>
        <v>958.08119999999997</v>
      </c>
      <c r="AH65" s="178">
        <f>'1.piel'!AI64</f>
        <v>1756.4821999999999</v>
      </c>
      <c r="AI65" s="178">
        <f>'1.piel'!AJ64</f>
        <v>1117.7614000000001</v>
      </c>
      <c r="AJ65" s="178">
        <f>'1.piel'!AK64</f>
        <v>159.68020000000001</v>
      </c>
      <c r="AK65" s="178">
        <f>'1.piel'!AL64</f>
        <v>31.936039999999998</v>
      </c>
      <c r="AL65" s="178">
        <f>'1.piel'!AM64</f>
        <v>0.9</v>
      </c>
      <c r="AM65" s="178">
        <f>'1.piel'!AN64</f>
        <v>0.75</v>
      </c>
      <c r="AN65" s="178">
        <f>'1.piel'!AO64</f>
        <v>0.9</v>
      </c>
      <c r="AO65" s="178">
        <f>'1.piel'!AP64</f>
        <v>0.8</v>
      </c>
      <c r="AP65" s="178">
        <f>'1.piel'!AQ64</f>
        <v>0.8</v>
      </c>
      <c r="AQ65" s="178">
        <f>'1.piel'!AR64</f>
        <v>878.66142268500005</v>
      </c>
      <c r="AR65" s="178">
        <f>'1.piel'!AS64</f>
        <v>1336.2712761749999</v>
      </c>
      <c r="AS65" s="178">
        <f>'1.piel'!AT64</f>
        <v>1027.4161696650001</v>
      </c>
      <c r="AT65" s="178">
        <f>'1.piel'!AU64</f>
        <v>130.54558610000001</v>
      </c>
      <c r="AU65" s="178">
        <f>'1.piel'!AV64</f>
        <v>26.109117219999998</v>
      </c>
      <c r="AV65" s="178">
        <f>'1.piel'!AW64</f>
        <v>97.62904696499993</v>
      </c>
      <c r="AW65" s="178">
        <f>'1.piel'!AX64</f>
        <v>445.42375872499997</v>
      </c>
      <c r="AX65" s="178">
        <f>'1.piel'!AY64</f>
        <v>114.15735218500004</v>
      </c>
      <c r="AY65" s="178">
        <f>'1.piel'!AZ64</f>
        <v>32.636396525000009</v>
      </c>
      <c r="AZ65" s="178">
        <f>'1.piel'!BA64</f>
        <v>6.5272793049999969</v>
      </c>
      <c r="BA65" s="178">
        <f>'1.piel'!BB64</f>
        <v>1212.7563</v>
      </c>
      <c r="BB65" s="178">
        <f>'1.piel'!BC64</f>
        <v>2223.3865500000002</v>
      </c>
      <c r="BC65" s="178">
        <f>'1.piel'!BD64</f>
        <v>1414.8823500000001</v>
      </c>
      <c r="BD65" s="178">
        <f>'1.piel'!BE64</f>
        <v>202.12605000000002</v>
      </c>
      <c r="BE65" s="178">
        <f>'1.piel'!BF64</f>
        <v>40.42521</v>
      </c>
      <c r="BF65" s="178">
        <f>'1.piel'!BG64</f>
        <v>307.48132936499991</v>
      </c>
      <c r="BG65" s="178">
        <f>'1.piel'!BH64</f>
        <v>850.69673452500001</v>
      </c>
      <c r="BH65" s="178">
        <f>'1.piel'!BI64</f>
        <v>362.25334543500003</v>
      </c>
      <c r="BI65" s="178">
        <f>'1.piel'!BJ64</f>
        <v>71.580463900000012</v>
      </c>
      <c r="BJ65" s="178">
        <f>'1.piel'!BK64</f>
        <v>14.316092779999996</v>
      </c>
      <c r="BK65" s="178">
        <f>'1.piel'!BL64</f>
        <v>905.27497063500005</v>
      </c>
      <c r="BL65" s="178">
        <f>'1.piel'!BM64</f>
        <v>1372.6898154749999</v>
      </c>
      <c r="BM65" s="178">
        <f>'1.piel'!BN64</f>
        <v>1052.6290045650001</v>
      </c>
      <c r="BN65" s="178">
        <f>'1.piel'!BO64</f>
        <v>130.54558610000001</v>
      </c>
      <c r="BO65" s="178">
        <f>'1.piel'!BP64</f>
        <v>26.109117219999998</v>
      </c>
      <c r="BP65" s="157"/>
      <c r="BQ65" s="148"/>
      <c r="BR65" s="148"/>
      <c r="BS65" s="148"/>
      <c r="BT65" s="148"/>
      <c r="BU65" s="151">
        <v>30926520</v>
      </c>
      <c r="BV65" s="150">
        <f>BU65+ROUND(BU65*BV$6,2)</f>
        <v>27710161.920000002</v>
      </c>
      <c r="BW65" s="150">
        <f t="shared" si="227"/>
        <v>29095670.020000003</v>
      </c>
      <c r="BX65" s="150">
        <f t="shared" si="228"/>
        <v>33430924.850000001</v>
      </c>
      <c r="BY65" s="150">
        <f t="shared" si="229"/>
        <v>33564648.550000004</v>
      </c>
      <c r="BZ65" s="155">
        <f t="shared" si="230"/>
        <v>34336635.470000006</v>
      </c>
      <c r="CA65" s="179">
        <f t="shared" si="230"/>
        <v>35126378.090000004</v>
      </c>
      <c r="CB65" s="203">
        <f t="shared" si="168"/>
        <v>3337005.9185500005</v>
      </c>
      <c r="CC65" s="198">
        <f t="shared" si="231"/>
        <v>35934284.790000007</v>
      </c>
      <c r="CD65" s="206">
        <f t="shared" si="169"/>
        <v>3413757.0550500005</v>
      </c>
      <c r="CE65" s="150">
        <f t="shared" si="232"/>
        <v>36760773.340000004</v>
      </c>
      <c r="CF65" s="206">
        <f t="shared" si="170"/>
        <v>3492273.4673000006</v>
      </c>
      <c r="CG65" s="150">
        <f t="shared" si="233"/>
        <v>37606271.130000003</v>
      </c>
      <c r="CH65" s="206">
        <f t="shared" si="171"/>
        <v>3572595.7573500001</v>
      </c>
      <c r="CI65" s="150">
        <f t="shared" si="234"/>
        <v>38471215.370000005</v>
      </c>
      <c r="CJ65" s="206">
        <f t="shared" si="172"/>
        <v>3654765.4601500006</v>
      </c>
      <c r="CK65" s="150">
        <f t="shared" si="235"/>
        <v>39356053.320000008</v>
      </c>
      <c r="CL65" s="206">
        <f t="shared" si="173"/>
        <v>3738825.0654000007</v>
      </c>
      <c r="CM65" s="150">
        <f t="shared" si="236"/>
        <v>40261242.550000004</v>
      </c>
      <c r="CN65" s="150">
        <f t="shared" si="237"/>
        <v>41187251.130000003</v>
      </c>
      <c r="CO65" s="157"/>
      <c r="CP65" s="148"/>
      <c r="CQ65" s="148"/>
      <c r="CR65" s="148"/>
      <c r="CS65" s="148"/>
      <c r="CT65" s="148"/>
      <c r="CU65" s="151"/>
      <c r="CV65" s="150">
        <f t="shared" si="187"/>
        <v>0</v>
      </c>
      <c r="CW65" s="150">
        <f t="shared" ref="CW65:DG65" si="239">CV65+ROUND(CV65*CW$6,2)</f>
        <v>0</v>
      </c>
      <c r="CX65" s="150">
        <f t="shared" si="239"/>
        <v>0</v>
      </c>
      <c r="CY65" s="150">
        <f t="shared" si="239"/>
        <v>0</v>
      </c>
      <c r="CZ65" s="155">
        <f t="shared" si="239"/>
        <v>0</v>
      </c>
      <c r="DA65" s="155">
        <f t="shared" si="239"/>
        <v>0</v>
      </c>
      <c r="DB65" s="155">
        <f t="shared" si="239"/>
        <v>0</v>
      </c>
      <c r="DC65" s="155">
        <f t="shared" si="239"/>
        <v>0</v>
      </c>
      <c r="DD65" s="155">
        <f t="shared" si="239"/>
        <v>0</v>
      </c>
      <c r="DE65" s="155">
        <f t="shared" si="239"/>
        <v>0</v>
      </c>
      <c r="DF65" s="155">
        <f t="shared" si="239"/>
        <v>0</v>
      </c>
      <c r="DG65" s="155">
        <f t="shared" si="239"/>
        <v>0</v>
      </c>
      <c r="DH65" s="236">
        <v>0</v>
      </c>
      <c r="DI65" s="243">
        <f t="shared" si="199"/>
        <v>35126378.090000004</v>
      </c>
      <c r="DJ65" s="248">
        <f t="shared" si="175"/>
        <v>3020.5845807894061</v>
      </c>
      <c r="DK65" s="382">
        <f>CA65/'1.piel'!M64</f>
        <v>3020.5845807894061</v>
      </c>
      <c r="DL65">
        <f>DH65/'1.piel'!G64</f>
        <v>0</v>
      </c>
    </row>
    <row r="66" spans="2:116" x14ac:dyDescent="0.25">
      <c r="B66" s="55">
        <v>14</v>
      </c>
      <c r="C66" s="121" t="s">
        <v>57</v>
      </c>
      <c r="D66" s="41" t="s">
        <v>255</v>
      </c>
      <c r="E66" s="112">
        <v>11734</v>
      </c>
      <c r="F66" s="179">
        <v>13200</v>
      </c>
      <c r="G66" s="69">
        <v>6294</v>
      </c>
      <c r="H66" s="99">
        <f t="shared" si="114"/>
        <v>19494</v>
      </c>
      <c r="I66" s="94">
        <f t="shared" ref="I66:I104" si="240">J66/F66</f>
        <v>1</v>
      </c>
      <c r="J66" s="104">
        <v>13200</v>
      </c>
      <c r="K66" s="98">
        <f t="shared" ref="K66:K104" si="241">L66/F66</f>
        <v>0</v>
      </c>
      <c r="L66" s="99">
        <f t="shared" si="117"/>
        <v>0</v>
      </c>
      <c r="M66" s="174">
        <f t="shared" si="118"/>
        <v>0</v>
      </c>
      <c r="N66" s="64">
        <f t="shared" si="119"/>
        <v>0</v>
      </c>
      <c r="O66" s="64">
        <f t="shared" si="120"/>
        <v>0</v>
      </c>
      <c r="P66" s="64">
        <f t="shared" si="121"/>
        <v>0</v>
      </c>
      <c r="Q66" s="64">
        <f t="shared" si="122"/>
        <v>0</v>
      </c>
      <c r="R66" s="64">
        <f t="shared" si="123"/>
        <v>0</v>
      </c>
      <c r="S66" s="64">
        <f t="shared" si="124"/>
        <v>0</v>
      </c>
      <c r="T66" s="64">
        <f t="shared" si="125"/>
        <v>0</v>
      </c>
      <c r="U66" s="64">
        <f t="shared" si="126"/>
        <v>0</v>
      </c>
      <c r="V66" s="64">
        <f t="shared" si="127"/>
        <v>0</v>
      </c>
      <c r="W66" s="64">
        <f t="shared" si="128"/>
        <v>0</v>
      </c>
      <c r="X66" s="64">
        <f t="shared" si="129"/>
        <v>0</v>
      </c>
      <c r="Y66" s="64">
        <f t="shared" si="130"/>
        <v>0</v>
      </c>
      <c r="Z66" s="64">
        <f t="shared" si="131"/>
        <v>0</v>
      </c>
      <c r="AA66" s="64">
        <f t="shared" si="132"/>
        <v>0</v>
      </c>
      <c r="AB66" s="64">
        <f t="shared" si="133"/>
        <v>0</v>
      </c>
      <c r="AC66" s="64">
        <f t="shared" si="134"/>
        <v>0</v>
      </c>
      <c r="AD66" s="64">
        <f t="shared" si="135"/>
        <v>0</v>
      </c>
      <c r="AE66" s="64">
        <f t="shared" si="136"/>
        <v>0</v>
      </c>
      <c r="AF66" s="64">
        <f t="shared" si="137"/>
        <v>0</v>
      </c>
      <c r="AG66" s="65">
        <f t="shared" si="138"/>
        <v>426.91860000000003</v>
      </c>
      <c r="AH66" s="65">
        <f t="shared" si="139"/>
        <v>960.56685000000004</v>
      </c>
      <c r="AI66" s="65">
        <f t="shared" si="140"/>
        <v>426.91860000000003</v>
      </c>
      <c r="AJ66" s="65">
        <f t="shared" si="141"/>
        <v>85.383719999999997</v>
      </c>
      <c r="AK66" s="65">
        <f t="shared" si="142"/>
        <v>14.23062</v>
      </c>
      <c r="AL66" s="66">
        <v>0.9</v>
      </c>
      <c r="AM66" s="66">
        <v>0.75</v>
      </c>
      <c r="AN66" s="66">
        <v>0.9</v>
      </c>
      <c r="AO66" s="66">
        <v>0.1</v>
      </c>
      <c r="AP66" s="66">
        <v>0.1</v>
      </c>
      <c r="AQ66" s="65">
        <f t="shared" si="143"/>
        <v>384.22674000000001</v>
      </c>
      <c r="AR66" s="65">
        <f t="shared" si="144"/>
        <v>720.42513750000001</v>
      </c>
      <c r="AS66" s="65">
        <f t="shared" si="145"/>
        <v>384.22674000000001</v>
      </c>
      <c r="AT66" s="65">
        <f t="shared" si="146"/>
        <v>8.5383720000000007</v>
      </c>
      <c r="AU66" s="65">
        <f t="shared" si="147"/>
        <v>1.423062</v>
      </c>
      <c r="AV66" s="65">
        <f t="shared" si="148"/>
        <v>42.69186000000002</v>
      </c>
      <c r="AW66" s="65">
        <f t="shared" si="149"/>
        <v>240.14171250000004</v>
      </c>
      <c r="AX66" s="65">
        <f t="shared" si="150"/>
        <v>42.69186000000002</v>
      </c>
      <c r="AY66" s="65">
        <f t="shared" si="151"/>
        <v>76.845348000000001</v>
      </c>
      <c r="AZ66" s="65">
        <f t="shared" si="152"/>
        <v>12.807558</v>
      </c>
      <c r="BA66" s="67">
        <f t="shared" si="153"/>
        <v>426.91860000000003</v>
      </c>
      <c r="BB66" s="67">
        <f t="shared" si="154"/>
        <v>960.56685000000004</v>
      </c>
      <c r="BC66" s="67">
        <f t="shared" si="155"/>
        <v>426.91860000000003</v>
      </c>
      <c r="BD66" s="68">
        <f t="shared" si="156"/>
        <v>85.383719999999997</v>
      </c>
      <c r="BE66" s="68">
        <f t="shared" si="157"/>
        <v>14.23062</v>
      </c>
      <c r="BF66" s="67">
        <f t="shared" si="158"/>
        <v>42.69186000000002</v>
      </c>
      <c r="BG66" s="67">
        <f t="shared" si="159"/>
        <v>240.14171250000004</v>
      </c>
      <c r="BH66" s="67">
        <f t="shared" si="160"/>
        <v>42.69186000000002</v>
      </c>
      <c r="BI66" s="68">
        <f t="shared" si="161"/>
        <v>76.845348000000001</v>
      </c>
      <c r="BJ66" s="68">
        <f t="shared" si="162"/>
        <v>12.807558</v>
      </c>
      <c r="BK66" s="67">
        <f t="shared" si="163"/>
        <v>384.22674000000001</v>
      </c>
      <c r="BL66" s="67">
        <f t="shared" si="164"/>
        <v>720.42513750000001</v>
      </c>
      <c r="BM66" s="67">
        <f t="shared" si="165"/>
        <v>384.22674000000001</v>
      </c>
      <c r="BN66" s="68">
        <f t="shared" si="166"/>
        <v>8.5383720000000007</v>
      </c>
      <c r="BO66" s="187">
        <f t="shared" si="167"/>
        <v>1.423062</v>
      </c>
      <c r="BP66" s="157"/>
      <c r="BQ66" s="148"/>
      <c r="BR66" s="148"/>
      <c r="BS66" s="148"/>
      <c r="BT66" s="148"/>
      <c r="BU66" s="148"/>
      <c r="BV66" s="151">
        <v>0</v>
      </c>
      <c r="BW66" s="150">
        <f t="shared" si="227"/>
        <v>0</v>
      </c>
      <c r="BX66" s="150">
        <f t="shared" si="228"/>
        <v>0</v>
      </c>
      <c r="BY66" s="150">
        <f t="shared" si="229"/>
        <v>0</v>
      </c>
      <c r="BZ66" s="155">
        <f t="shared" si="230"/>
        <v>0</v>
      </c>
      <c r="CA66" s="179">
        <f t="shared" si="230"/>
        <v>0</v>
      </c>
      <c r="CB66" s="203">
        <f t="shared" si="168"/>
        <v>0</v>
      </c>
      <c r="CC66" s="198">
        <f t="shared" si="231"/>
        <v>0</v>
      </c>
      <c r="CD66" s="206">
        <f t="shared" si="169"/>
        <v>0</v>
      </c>
      <c r="CE66" s="150">
        <f t="shared" si="232"/>
        <v>0</v>
      </c>
      <c r="CF66" s="206">
        <f t="shared" si="170"/>
        <v>0</v>
      </c>
      <c r="CG66" s="150">
        <f t="shared" si="233"/>
        <v>0</v>
      </c>
      <c r="CH66" s="206">
        <f t="shared" si="171"/>
        <v>0</v>
      </c>
      <c r="CI66" s="150">
        <f t="shared" si="234"/>
        <v>0</v>
      </c>
      <c r="CJ66" s="206">
        <f t="shared" si="172"/>
        <v>0</v>
      </c>
      <c r="CK66" s="150">
        <f t="shared" si="235"/>
        <v>0</v>
      </c>
      <c r="CL66" s="206">
        <f t="shared" si="173"/>
        <v>0</v>
      </c>
      <c r="CM66" s="150">
        <f t="shared" si="236"/>
        <v>0</v>
      </c>
      <c r="CN66" s="150">
        <f t="shared" si="237"/>
        <v>0</v>
      </c>
      <c r="CO66" s="157"/>
      <c r="CP66" s="148"/>
      <c r="CQ66" s="148"/>
      <c r="CR66" s="148"/>
      <c r="CS66" s="151">
        <v>0</v>
      </c>
      <c r="CT66" s="150">
        <f>CS66+ROUND(CS66*CT$6,2)</f>
        <v>0</v>
      </c>
      <c r="CU66" s="150">
        <f>CT66+ROUND(CT66*CU$6,2)</f>
        <v>0</v>
      </c>
      <c r="CV66" s="150">
        <f t="shared" si="187"/>
        <v>0</v>
      </c>
      <c r="CW66" s="150">
        <f t="shared" ref="CW66:DG66" si="242">CV66+ROUND(CV66*CW$6,2)</f>
        <v>0</v>
      </c>
      <c r="CX66" s="150">
        <f t="shared" si="242"/>
        <v>0</v>
      </c>
      <c r="CY66" s="150">
        <f t="shared" si="242"/>
        <v>0</v>
      </c>
      <c r="CZ66" s="155">
        <f t="shared" si="242"/>
        <v>0</v>
      </c>
      <c r="DA66" s="155">
        <f t="shared" si="242"/>
        <v>0</v>
      </c>
      <c r="DB66" s="155">
        <f t="shared" si="242"/>
        <v>0</v>
      </c>
      <c r="DC66" s="155">
        <f t="shared" si="242"/>
        <v>0</v>
      </c>
      <c r="DD66" s="155">
        <f t="shared" si="242"/>
        <v>0</v>
      </c>
      <c r="DE66" s="155">
        <f t="shared" si="242"/>
        <v>0</v>
      </c>
      <c r="DF66" s="155">
        <f t="shared" si="242"/>
        <v>0</v>
      </c>
      <c r="DG66" s="155">
        <f t="shared" si="242"/>
        <v>0</v>
      </c>
      <c r="DH66" s="237">
        <v>0</v>
      </c>
      <c r="DI66" s="243">
        <f t="shared" si="199"/>
        <v>0</v>
      </c>
      <c r="DJ66" s="248">
        <f t="shared" si="175"/>
        <v>0</v>
      </c>
      <c r="DK66" s="382">
        <v>0</v>
      </c>
      <c r="DL66">
        <f>DH66/'1.piel'!G65</f>
        <v>0</v>
      </c>
    </row>
    <row r="67" spans="2:116" x14ac:dyDescent="0.25">
      <c r="B67" s="52">
        <v>18</v>
      </c>
      <c r="C67" s="53" t="s">
        <v>61</v>
      </c>
      <c r="D67" s="36" t="s">
        <v>255</v>
      </c>
      <c r="E67" s="110">
        <v>10071</v>
      </c>
      <c r="F67" s="178">
        <v>12548</v>
      </c>
      <c r="G67" s="36">
        <v>945</v>
      </c>
      <c r="H67" s="99">
        <f t="shared" si="114"/>
        <v>13493</v>
      </c>
      <c r="I67" s="94">
        <f t="shared" si="240"/>
        <v>0.96971628944851773</v>
      </c>
      <c r="J67" s="89">
        <v>12168</v>
      </c>
      <c r="K67" s="98">
        <f t="shared" si="241"/>
        <v>3.028371055148231E-2</v>
      </c>
      <c r="L67" s="99">
        <f t="shared" si="117"/>
        <v>380</v>
      </c>
      <c r="M67" s="174">
        <f t="shared" si="118"/>
        <v>8.3219999999999992</v>
      </c>
      <c r="N67" s="64">
        <f t="shared" si="119"/>
        <v>18.724499999999999</v>
      </c>
      <c r="O67" s="64">
        <f t="shared" si="120"/>
        <v>8.3219999999999992</v>
      </c>
      <c r="P67" s="64">
        <f t="shared" si="121"/>
        <v>1.6644000000000001</v>
      </c>
      <c r="Q67" s="64">
        <f t="shared" si="122"/>
        <v>0.27739999999999998</v>
      </c>
      <c r="R67" s="64">
        <f t="shared" si="123"/>
        <v>1.8030999999999999</v>
      </c>
      <c r="S67" s="64">
        <f t="shared" si="124"/>
        <v>3.0514000000000001</v>
      </c>
      <c r="T67" s="64">
        <f t="shared" si="125"/>
        <v>2.0804999999999998</v>
      </c>
      <c r="U67" s="64">
        <f t="shared" si="126"/>
        <v>0.41610000000000003</v>
      </c>
      <c r="V67" s="64">
        <f t="shared" si="127"/>
        <v>6.9349999999999995E-2</v>
      </c>
      <c r="W67" s="64">
        <f t="shared" si="128"/>
        <v>2.6353</v>
      </c>
      <c r="X67" s="64">
        <f t="shared" si="129"/>
        <v>4.4383999999999997</v>
      </c>
      <c r="Y67" s="64">
        <f t="shared" si="130"/>
        <v>2.0804999999999998</v>
      </c>
      <c r="Z67" s="64">
        <f t="shared" si="131"/>
        <v>0</v>
      </c>
      <c r="AA67" s="64">
        <f t="shared" si="132"/>
        <v>0</v>
      </c>
      <c r="AB67" s="64">
        <f t="shared" si="133"/>
        <v>3.8835999999999999</v>
      </c>
      <c r="AC67" s="64">
        <f t="shared" si="134"/>
        <v>11.2347</v>
      </c>
      <c r="AD67" s="64">
        <f t="shared" si="135"/>
        <v>4.1609999999999996</v>
      </c>
      <c r="AE67" s="64">
        <f t="shared" si="136"/>
        <v>1.2483</v>
      </c>
      <c r="AF67" s="64">
        <f t="shared" si="137"/>
        <v>0.20805000000000001</v>
      </c>
      <c r="AG67" s="65">
        <f t="shared" si="138"/>
        <v>287.17469999999997</v>
      </c>
      <c r="AH67" s="65">
        <f t="shared" si="139"/>
        <v>646.14307499999995</v>
      </c>
      <c r="AI67" s="65">
        <f t="shared" si="140"/>
        <v>287.17469999999997</v>
      </c>
      <c r="AJ67" s="65">
        <f t="shared" si="141"/>
        <v>57.434939999999997</v>
      </c>
      <c r="AK67" s="65">
        <f t="shared" si="142"/>
        <v>9.5724900000000002</v>
      </c>
      <c r="AL67" s="66">
        <v>0.9</v>
      </c>
      <c r="AM67" s="66">
        <v>0.75</v>
      </c>
      <c r="AN67" s="66">
        <v>0.9</v>
      </c>
      <c r="AO67" s="66">
        <v>0.1</v>
      </c>
      <c r="AP67" s="66">
        <v>0.1</v>
      </c>
      <c r="AQ67" s="65">
        <f t="shared" si="143"/>
        <v>260.08001999999993</v>
      </c>
      <c r="AR67" s="65">
        <f t="shared" si="144"/>
        <v>486.89585624999995</v>
      </c>
      <c r="AS67" s="65">
        <f t="shared" si="145"/>
        <v>260.32967999999994</v>
      </c>
      <c r="AT67" s="65">
        <f t="shared" si="146"/>
        <v>5.7851040000000005</v>
      </c>
      <c r="AU67" s="65">
        <f t="shared" si="147"/>
        <v>0.96418400000000004</v>
      </c>
      <c r="AV67" s="65">
        <f t="shared" si="148"/>
        <v>28.897780000000012</v>
      </c>
      <c r="AW67" s="65">
        <f t="shared" si="149"/>
        <v>162.29861874999995</v>
      </c>
      <c r="AX67" s="65">
        <f t="shared" si="150"/>
        <v>28.925520000000006</v>
      </c>
      <c r="AY67" s="65">
        <f t="shared" si="151"/>
        <v>52.065935999999994</v>
      </c>
      <c r="AZ67" s="65">
        <f t="shared" si="152"/>
        <v>8.6776560000000007</v>
      </c>
      <c r="BA67" s="67">
        <f t="shared" si="153"/>
        <v>295.49669999999998</v>
      </c>
      <c r="BB67" s="67">
        <f t="shared" si="154"/>
        <v>664.86757499999999</v>
      </c>
      <c r="BC67" s="67">
        <f t="shared" si="155"/>
        <v>295.49669999999998</v>
      </c>
      <c r="BD67" s="68">
        <f t="shared" si="156"/>
        <v>59.099339999999998</v>
      </c>
      <c r="BE67" s="68">
        <f t="shared" si="157"/>
        <v>9.8498900000000003</v>
      </c>
      <c r="BF67" s="67">
        <f t="shared" si="158"/>
        <v>32.781380000000013</v>
      </c>
      <c r="BG67" s="67">
        <f t="shared" si="159"/>
        <v>173.53331874999995</v>
      </c>
      <c r="BH67" s="67">
        <f t="shared" si="160"/>
        <v>33.086520000000007</v>
      </c>
      <c r="BI67" s="68">
        <f t="shared" si="161"/>
        <v>53.314235999999994</v>
      </c>
      <c r="BJ67" s="68">
        <f t="shared" si="162"/>
        <v>8.8857060000000008</v>
      </c>
      <c r="BK67" s="67">
        <f t="shared" si="163"/>
        <v>262.71531999999991</v>
      </c>
      <c r="BL67" s="67">
        <f t="shared" si="164"/>
        <v>491.33425624999995</v>
      </c>
      <c r="BM67" s="67">
        <f t="shared" si="165"/>
        <v>262.41017999999991</v>
      </c>
      <c r="BN67" s="68">
        <f t="shared" si="166"/>
        <v>5.7851040000000005</v>
      </c>
      <c r="BO67" s="187">
        <f t="shared" si="167"/>
        <v>0.96418400000000004</v>
      </c>
      <c r="BP67" s="157"/>
      <c r="BQ67" s="148"/>
      <c r="BR67" s="148"/>
      <c r="BS67" s="148"/>
      <c r="BT67" s="148"/>
      <c r="BU67" s="148"/>
      <c r="BV67" s="151">
        <v>936550</v>
      </c>
      <c r="BW67" s="150">
        <f t="shared" si="227"/>
        <v>983377.5</v>
      </c>
      <c r="BX67" s="150">
        <f t="shared" si="228"/>
        <v>1129900.75</v>
      </c>
      <c r="BY67" s="150">
        <f t="shared" si="229"/>
        <v>1134420.3500000001</v>
      </c>
      <c r="BZ67" s="155">
        <f t="shared" si="230"/>
        <v>1160512.02</v>
      </c>
      <c r="CA67" s="179">
        <f t="shared" si="230"/>
        <v>1187203.8</v>
      </c>
      <c r="CB67" s="203">
        <f t="shared" si="168"/>
        <v>112784.361</v>
      </c>
      <c r="CC67" s="198">
        <f t="shared" si="231"/>
        <v>1214509.49</v>
      </c>
      <c r="CD67" s="206">
        <f t="shared" si="169"/>
        <v>115378.40155</v>
      </c>
      <c r="CE67" s="150">
        <f t="shared" si="232"/>
        <v>1242443.21</v>
      </c>
      <c r="CF67" s="206">
        <f t="shared" si="170"/>
        <v>118032.10494999999</v>
      </c>
      <c r="CG67" s="150">
        <f t="shared" si="233"/>
        <v>1271019.3999999999</v>
      </c>
      <c r="CH67" s="206">
        <f t="shared" si="171"/>
        <v>120746.84299999999</v>
      </c>
      <c r="CI67" s="150">
        <f t="shared" si="234"/>
        <v>1300252.8499999999</v>
      </c>
      <c r="CJ67" s="206">
        <f t="shared" si="172"/>
        <v>123524.02074999998</v>
      </c>
      <c r="CK67" s="150">
        <f t="shared" si="235"/>
        <v>1330158.67</v>
      </c>
      <c r="CL67" s="206">
        <f t="shared" si="173"/>
        <v>126365.07364999999</v>
      </c>
      <c r="CM67" s="150">
        <f t="shared" si="236"/>
        <v>1360752.3199999998</v>
      </c>
      <c r="CN67" s="150">
        <f t="shared" si="237"/>
        <v>1392049.6199999999</v>
      </c>
      <c r="CO67" s="157"/>
      <c r="CP67" s="148"/>
      <c r="CQ67" s="148"/>
      <c r="CR67" s="148"/>
      <c r="CS67" s="148"/>
      <c r="CT67" s="148"/>
      <c r="CU67" s="151">
        <v>400000</v>
      </c>
      <c r="CV67" s="150">
        <f t="shared" si="187"/>
        <v>420000</v>
      </c>
      <c r="CW67" s="150">
        <f t="shared" ref="CW67:DG67" si="243">CV67+ROUND(CV67*CW$6,2)</f>
        <v>482580</v>
      </c>
      <c r="CX67" s="150">
        <f t="shared" si="243"/>
        <v>484510.32</v>
      </c>
      <c r="CY67" s="150">
        <f t="shared" si="243"/>
        <v>495654.06</v>
      </c>
      <c r="CZ67" s="155">
        <f t="shared" si="243"/>
        <v>508045.41</v>
      </c>
      <c r="DA67" s="155">
        <f t="shared" si="243"/>
        <v>520746.55</v>
      </c>
      <c r="DB67" s="155">
        <f t="shared" si="243"/>
        <v>533765.21</v>
      </c>
      <c r="DC67" s="155">
        <f t="shared" si="243"/>
        <v>547109.34</v>
      </c>
      <c r="DD67" s="155">
        <f t="shared" si="243"/>
        <v>560787.06999999995</v>
      </c>
      <c r="DE67" s="155">
        <f t="shared" si="243"/>
        <v>574806.75</v>
      </c>
      <c r="DF67" s="155">
        <f t="shared" si="243"/>
        <v>589176.92000000004</v>
      </c>
      <c r="DG67" s="155">
        <f t="shared" si="243"/>
        <v>603906.34000000008</v>
      </c>
      <c r="DH67" s="236">
        <v>0</v>
      </c>
      <c r="DI67" s="243">
        <f t="shared" si="199"/>
        <v>1187203.8</v>
      </c>
      <c r="DJ67" s="248">
        <f t="shared" si="175"/>
        <v>3124.2205263157898</v>
      </c>
      <c r="DK67" s="382">
        <f>CA67/'1.piel'!M66</f>
        <v>3124.2205263157898</v>
      </c>
      <c r="DL67">
        <f>DH67/'1.piel'!G66</f>
        <v>0</v>
      </c>
    </row>
    <row r="68" spans="2:116" x14ac:dyDescent="0.25">
      <c r="B68" s="52">
        <v>21</v>
      </c>
      <c r="C68" s="53" t="s">
        <v>63</v>
      </c>
      <c r="D68" s="36" t="s">
        <v>255</v>
      </c>
      <c r="E68" s="110">
        <v>9250</v>
      </c>
      <c r="F68" s="178">
        <v>11170</v>
      </c>
      <c r="G68" s="63">
        <v>1367</v>
      </c>
      <c r="H68" s="99">
        <f t="shared" si="114"/>
        <v>12537</v>
      </c>
      <c r="I68" s="94">
        <f t="shared" si="240"/>
        <v>0.99328558639212172</v>
      </c>
      <c r="J68" s="89">
        <v>11095</v>
      </c>
      <c r="K68" s="98">
        <f t="shared" si="241"/>
        <v>6.7144136078782449E-3</v>
      </c>
      <c r="L68" s="99">
        <f t="shared" si="117"/>
        <v>75</v>
      </c>
      <c r="M68" s="174">
        <f t="shared" si="118"/>
        <v>1.6425000000000001</v>
      </c>
      <c r="N68" s="64">
        <f t="shared" si="119"/>
        <v>3.6956250000000002</v>
      </c>
      <c r="O68" s="64">
        <f t="shared" si="120"/>
        <v>1.6425000000000001</v>
      </c>
      <c r="P68" s="64">
        <f t="shared" si="121"/>
        <v>0.32850000000000001</v>
      </c>
      <c r="Q68" s="64">
        <f t="shared" si="122"/>
        <v>5.475E-2</v>
      </c>
      <c r="R68" s="64">
        <f t="shared" si="123"/>
        <v>0.355875</v>
      </c>
      <c r="S68" s="64">
        <f t="shared" si="124"/>
        <v>0.60224999999999995</v>
      </c>
      <c r="T68" s="64">
        <f t="shared" si="125"/>
        <v>0.41062500000000002</v>
      </c>
      <c r="U68" s="64">
        <f t="shared" si="126"/>
        <v>8.2125000000000004E-2</v>
      </c>
      <c r="V68" s="64">
        <f t="shared" si="127"/>
        <v>1.36875E-2</v>
      </c>
      <c r="W68" s="64">
        <f t="shared" si="128"/>
        <v>0.52012499999999995</v>
      </c>
      <c r="X68" s="64">
        <f t="shared" si="129"/>
        <v>0.876</v>
      </c>
      <c r="Y68" s="64">
        <f t="shared" si="130"/>
        <v>0.41062500000000002</v>
      </c>
      <c r="Z68" s="64">
        <f t="shared" si="131"/>
        <v>0</v>
      </c>
      <c r="AA68" s="64">
        <f t="shared" si="132"/>
        <v>0</v>
      </c>
      <c r="AB68" s="64">
        <f t="shared" si="133"/>
        <v>0.76649999999999996</v>
      </c>
      <c r="AC68" s="64">
        <f t="shared" si="134"/>
        <v>2.2173750000000001</v>
      </c>
      <c r="AD68" s="64">
        <f t="shared" si="135"/>
        <v>0.82125000000000004</v>
      </c>
      <c r="AE68" s="64">
        <f t="shared" si="136"/>
        <v>0.24637500000000001</v>
      </c>
      <c r="AF68" s="64">
        <f t="shared" si="137"/>
        <v>4.1062500000000002E-2</v>
      </c>
      <c r="AG68" s="65">
        <f t="shared" si="138"/>
        <v>272.9178</v>
      </c>
      <c r="AH68" s="65">
        <f t="shared" si="139"/>
        <v>614.06505000000004</v>
      </c>
      <c r="AI68" s="65">
        <f t="shared" si="140"/>
        <v>272.9178</v>
      </c>
      <c r="AJ68" s="65">
        <f t="shared" si="141"/>
        <v>54.583559999999999</v>
      </c>
      <c r="AK68" s="65">
        <f t="shared" si="142"/>
        <v>9.0972600000000003</v>
      </c>
      <c r="AL68" s="66">
        <v>0.9</v>
      </c>
      <c r="AM68" s="66">
        <v>0.75</v>
      </c>
      <c r="AN68" s="66">
        <v>0.9</v>
      </c>
      <c r="AO68" s="66">
        <v>0.1</v>
      </c>
      <c r="AP68" s="66">
        <v>0.1</v>
      </c>
      <c r="AQ68" s="65">
        <f t="shared" si="143"/>
        <v>245.94630750000002</v>
      </c>
      <c r="AR68" s="65">
        <f t="shared" si="144"/>
        <v>461.00047500000005</v>
      </c>
      <c r="AS68" s="65">
        <f t="shared" si="145"/>
        <v>245.99558249999998</v>
      </c>
      <c r="AT68" s="65">
        <f t="shared" si="146"/>
        <v>5.4665685000000002</v>
      </c>
      <c r="AU68" s="65">
        <f t="shared" si="147"/>
        <v>0.91109475000000006</v>
      </c>
      <c r="AV68" s="65">
        <f t="shared" si="148"/>
        <v>27.327367500000008</v>
      </c>
      <c r="AW68" s="65">
        <f t="shared" si="149"/>
        <v>153.66682500000002</v>
      </c>
      <c r="AX68" s="65">
        <f t="shared" si="150"/>
        <v>27.332842499999998</v>
      </c>
      <c r="AY68" s="65">
        <f t="shared" si="151"/>
        <v>49.199116499999995</v>
      </c>
      <c r="AZ68" s="65">
        <f t="shared" si="152"/>
        <v>8.1998527499999998</v>
      </c>
      <c r="BA68" s="67">
        <f t="shared" si="153"/>
        <v>274.56029999999998</v>
      </c>
      <c r="BB68" s="67">
        <f t="shared" si="154"/>
        <v>617.76067499999999</v>
      </c>
      <c r="BC68" s="67">
        <f t="shared" si="155"/>
        <v>274.56029999999998</v>
      </c>
      <c r="BD68" s="68">
        <f t="shared" si="156"/>
        <v>54.912059999999997</v>
      </c>
      <c r="BE68" s="68">
        <f t="shared" si="157"/>
        <v>9.1520100000000006</v>
      </c>
      <c r="BF68" s="67">
        <f t="shared" si="158"/>
        <v>28.093867500000009</v>
      </c>
      <c r="BG68" s="67">
        <f t="shared" si="159"/>
        <v>155.88420000000002</v>
      </c>
      <c r="BH68" s="67">
        <f t="shared" si="160"/>
        <v>28.154092499999997</v>
      </c>
      <c r="BI68" s="68">
        <f t="shared" si="161"/>
        <v>49.445491499999996</v>
      </c>
      <c r="BJ68" s="68">
        <f t="shared" si="162"/>
        <v>8.2409152500000005</v>
      </c>
      <c r="BK68" s="67">
        <f t="shared" si="163"/>
        <v>246.46643250000002</v>
      </c>
      <c r="BL68" s="67">
        <f t="shared" si="164"/>
        <v>461.87647500000003</v>
      </c>
      <c r="BM68" s="67">
        <f t="shared" si="165"/>
        <v>246.40620749999999</v>
      </c>
      <c r="BN68" s="68">
        <f t="shared" si="166"/>
        <v>5.4665685000000002</v>
      </c>
      <c r="BO68" s="187">
        <f t="shared" si="167"/>
        <v>0.91109475000000006</v>
      </c>
      <c r="BP68" s="157"/>
      <c r="BQ68" s="148"/>
      <c r="BR68" s="148"/>
      <c r="BS68" s="148"/>
      <c r="BT68" s="148"/>
      <c r="BU68" s="148"/>
      <c r="BV68" s="151">
        <v>54000</v>
      </c>
      <c r="BW68" s="150">
        <f t="shared" si="227"/>
        <v>56700</v>
      </c>
      <c r="BX68" s="150">
        <f t="shared" si="228"/>
        <v>65148.3</v>
      </c>
      <c r="BY68" s="150">
        <f t="shared" si="229"/>
        <v>65408.89</v>
      </c>
      <c r="BZ68" s="155">
        <f t="shared" si="230"/>
        <v>66913.289999999994</v>
      </c>
      <c r="CA68" s="179">
        <f t="shared" si="230"/>
        <v>68452.299999999988</v>
      </c>
      <c r="CB68" s="203">
        <f t="shared" si="168"/>
        <v>6502.968499999999</v>
      </c>
      <c r="CC68" s="198">
        <f t="shared" si="231"/>
        <v>70026.699999999983</v>
      </c>
      <c r="CD68" s="206">
        <f t="shared" si="169"/>
        <v>6652.5364999999983</v>
      </c>
      <c r="CE68" s="150">
        <f t="shared" si="232"/>
        <v>71637.309999999983</v>
      </c>
      <c r="CF68" s="206">
        <f t="shared" si="170"/>
        <v>6805.5444499999985</v>
      </c>
      <c r="CG68" s="150">
        <f t="shared" si="233"/>
        <v>73284.969999999987</v>
      </c>
      <c r="CH68" s="206">
        <f t="shared" si="171"/>
        <v>6962.0721499999991</v>
      </c>
      <c r="CI68" s="150">
        <f t="shared" si="234"/>
        <v>74970.51999999999</v>
      </c>
      <c r="CJ68" s="206">
        <f t="shared" si="172"/>
        <v>7122.1993999999995</v>
      </c>
      <c r="CK68" s="150">
        <f t="shared" si="235"/>
        <v>76694.84</v>
      </c>
      <c r="CL68" s="206">
        <f t="shared" si="173"/>
        <v>7286.0097999999998</v>
      </c>
      <c r="CM68" s="150">
        <f t="shared" si="236"/>
        <v>78458.819999999992</v>
      </c>
      <c r="CN68" s="150">
        <f t="shared" si="237"/>
        <v>80263.37</v>
      </c>
      <c r="CO68" s="157"/>
      <c r="CP68" s="148"/>
      <c r="CQ68" s="148"/>
      <c r="CR68" s="148"/>
      <c r="CS68" s="148"/>
      <c r="CT68" s="148"/>
      <c r="CU68" s="151">
        <v>0</v>
      </c>
      <c r="CV68" s="150">
        <f t="shared" si="187"/>
        <v>0</v>
      </c>
      <c r="CW68" s="150">
        <f t="shared" ref="CW68:DG68" si="244">CV68+ROUND(CV68*CW$6,2)</f>
        <v>0</v>
      </c>
      <c r="CX68" s="150">
        <f t="shared" si="244"/>
        <v>0</v>
      </c>
      <c r="CY68" s="150">
        <f t="shared" si="244"/>
        <v>0</v>
      </c>
      <c r="CZ68" s="155">
        <f t="shared" si="244"/>
        <v>0</v>
      </c>
      <c r="DA68" s="155">
        <f t="shared" si="244"/>
        <v>0</v>
      </c>
      <c r="DB68" s="155">
        <f t="shared" si="244"/>
        <v>0</v>
      </c>
      <c r="DC68" s="155">
        <f t="shared" si="244"/>
        <v>0</v>
      </c>
      <c r="DD68" s="155">
        <f t="shared" si="244"/>
        <v>0</v>
      </c>
      <c r="DE68" s="155">
        <f t="shared" si="244"/>
        <v>0</v>
      </c>
      <c r="DF68" s="155">
        <f t="shared" si="244"/>
        <v>0</v>
      </c>
      <c r="DG68" s="155">
        <f t="shared" si="244"/>
        <v>0</v>
      </c>
      <c r="DH68" s="236">
        <v>0</v>
      </c>
      <c r="DI68" s="243">
        <f t="shared" si="199"/>
        <v>68452.299999999988</v>
      </c>
      <c r="DJ68" s="248">
        <f t="shared" si="175"/>
        <v>912.69733333333318</v>
      </c>
      <c r="DK68" s="382">
        <f>CA68/'1.piel'!M67</f>
        <v>912.69733333333318</v>
      </c>
      <c r="DL68">
        <f>DH68/'1.piel'!G67</f>
        <v>0</v>
      </c>
    </row>
    <row r="69" spans="2:116" x14ac:dyDescent="0.25">
      <c r="B69" s="52">
        <v>33</v>
      </c>
      <c r="C69" s="53" t="s">
        <v>74</v>
      </c>
      <c r="D69" s="36" t="s">
        <v>255</v>
      </c>
      <c r="E69" s="110">
        <v>6024</v>
      </c>
      <c r="F69" s="178">
        <v>5225</v>
      </c>
      <c r="G69" s="63">
        <v>837</v>
      </c>
      <c r="H69" s="99">
        <f t="shared" si="114"/>
        <v>6062</v>
      </c>
      <c r="I69" s="94">
        <f t="shared" si="240"/>
        <v>0.65052631578947373</v>
      </c>
      <c r="J69" s="89">
        <v>3399</v>
      </c>
      <c r="K69" s="98">
        <f t="shared" si="241"/>
        <v>0.34947368421052633</v>
      </c>
      <c r="L69" s="99">
        <f t="shared" si="117"/>
        <v>1826</v>
      </c>
      <c r="M69" s="174">
        <f t="shared" si="118"/>
        <v>39.989400000000003</v>
      </c>
      <c r="N69" s="64">
        <f t="shared" si="119"/>
        <v>89.976150000000004</v>
      </c>
      <c r="O69" s="64">
        <f t="shared" si="120"/>
        <v>39.989400000000003</v>
      </c>
      <c r="P69" s="64">
        <f t="shared" si="121"/>
        <v>7.9978800000000003</v>
      </c>
      <c r="Q69" s="64">
        <f t="shared" si="122"/>
        <v>1.3329800000000001</v>
      </c>
      <c r="R69" s="64">
        <f t="shared" si="123"/>
        <v>8.6643699999999999</v>
      </c>
      <c r="S69" s="64">
        <f t="shared" si="124"/>
        <v>14.66278</v>
      </c>
      <c r="T69" s="64">
        <f t="shared" si="125"/>
        <v>9.9973500000000008</v>
      </c>
      <c r="U69" s="64">
        <f t="shared" si="126"/>
        <v>1.9994700000000001</v>
      </c>
      <c r="V69" s="64">
        <f t="shared" si="127"/>
        <v>0.33324500000000001</v>
      </c>
      <c r="W69" s="64">
        <f t="shared" si="128"/>
        <v>12.663309999999999</v>
      </c>
      <c r="X69" s="64">
        <f t="shared" si="129"/>
        <v>21.327680000000001</v>
      </c>
      <c r="Y69" s="64">
        <f t="shared" si="130"/>
        <v>9.9973500000000008</v>
      </c>
      <c r="Z69" s="64">
        <f t="shared" si="131"/>
        <v>0</v>
      </c>
      <c r="AA69" s="64">
        <f t="shared" si="132"/>
        <v>0</v>
      </c>
      <c r="AB69" s="64">
        <f t="shared" si="133"/>
        <v>18.661719999999999</v>
      </c>
      <c r="AC69" s="64">
        <f t="shared" si="134"/>
        <v>53.985689999999998</v>
      </c>
      <c r="AD69" s="64">
        <f t="shared" si="135"/>
        <v>19.994700000000002</v>
      </c>
      <c r="AE69" s="64">
        <f t="shared" si="136"/>
        <v>5.9984099999999998</v>
      </c>
      <c r="AF69" s="64">
        <f t="shared" si="137"/>
        <v>0.99973500000000004</v>
      </c>
      <c r="AG69" s="65">
        <f t="shared" si="138"/>
        <v>92.7684</v>
      </c>
      <c r="AH69" s="65">
        <f t="shared" si="139"/>
        <v>208.72890000000001</v>
      </c>
      <c r="AI69" s="65">
        <f t="shared" si="140"/>
        <v>92.7684</v>
      </c>
      <c r="AJ69" s="65">
        <f t="shared" si="141"/>
        <v>18.55368</v>
      </c>
      <c r="AK69" s="65">
        <f t="shared" si="142"/>
        <v>3.0922800000000001</v>
      </c>
      <c r="AL69" s="66">
        <v>0.9</v>
      </c>
      <c r="AM69" s="66">
        <v>0.75</v>
      </c>
      <c r="AN69" s="66">
        <v>0.9</v>
      </c>
      <c r="AO69" s="66">
        <v>0.1</v>
      </c>
      <c r="AP69" s="66">
        <v>0.1</v>
      </c>
      <c r="AQ69" s="65">
        <f t="shared" si="143"/>
        <v>91.289493000000007</v>
      </c>
      <c r="AR69" s="65">
        <f t="shared" si="144"/>
        <v>167.54376000000002</v>
      </c>
      <c r="AS69" s="65">
        <f t="shared" si="145"/>
        <v>92.489175000000003</v>
      </c>
      <c r="AT69" s="65">
        <f t="shared" si="146"/>
        <v>2.0553149999999998</v>
      </c>
      <c r="AU69" s="65">
        <f t="shared" si="147"/>
        <v>0.34255250000000004</v>
      </c>
      <c r="AV69" s="65">
        <f t="shared" si="148"/>
        <v>10.143276999999998</v>
      </c>
      <c r="AW69" s="65">
        <f t="shared" si="149"/>
        <v>55.847919999999988</v>
      </c>
      <c r="AX69" s="65">
        <f t="shared" si="150"/>
        <v>10.276574999999994</v>
      </c>
      <c r="AY69" s="65">
        <f t="shared" si="151"/>
        <v>18.497834999999998</v>
      </c>
      <c r="AZ69" s="65">
        <f t="shared" si="152"/>
        <v>3.0829725000000003</v>
      </c>
      <c r="BA69" s="67">
        <f t="shared" si="153"/>
        <v>132.7578</v>
      </c>
      <c r="BB69" s="67">
        <f t="shared" si="154"/>
        <v>298.70505000000003</v>
      </c>
      <c r="BC69" s="67">
        <f t="shared" si="155"/>
        <v>132.7578</v>
      </c>
      <c r="BD69" s="68">
        <f t="shared" si="156"/>
        <v>26.551560000000002</v>
      </c>
      <c r="BE69" s="68">
        <f t="shared" si="157"/>
        <v>4.4252599999999997</v>
      </c>
      <c r="BF69" s="67">
        <f t="shared" si="158"/>
        <v>28.804996999999997</v>
      </c>
      <c r="BG69" s="67">
        <f t="shared" si="159"/>
        <v>109.83360999999999</v>
      </c>
      <c r="BH69" s="67">
        <f t="shared" si="160"/>
        <v>30.271274999999996</v>
      </c>
      <c r="BI69" s="68">
        <f t="shared" si="161"/>
        <v>24.496244999999998</v>
      </c>
      <c r="BJ69" s="68">
        <f t="shared" si="162"/>
        <v>4.0827075000000006</v>
      </c>
      <c r="BK69" s="67">
        <f t="shared" si="163"/>
        <v>103.952803</v>
      </c>
      <c r="BL69" s="67">
        <f t="shared" si="164"/>
        <v>188.87144000000001</v>
      </c>
      <c r="BM69" s="67">
        <f t="shared" si="165"/>
        <v>102.486525</v>
      </c>
      <c r="BN69" s="68">
        <f t="shared" si="166"/>
        <v>2.0553149999999998</v>
      </c>
      <c r="BO69" s="187">
        <f t="shared" si="167"/>
        <v>0.34255250000000004</v>
      </c>
      <c r="BP69" s="157"/>
      <c r="BQ69" s="148"/>
      <c r="BR69" s="148"/>
      <c r="BS69" s="148"/>
      <c r="BT69" s="148"/>
      <c r="BU69" s="148"/>
      <c r="BV69" s="151">
        <f>1185300+92700*0.6</f>
        <v>1240920</v>
      </c>
      <c r="BW69" s="150">
        <f t="shared" si="227"/>
        <v>1302966</v>
      </c>
      <c r="BX69" s="150">
        <f t="shared" si="228"/>
        <v>1497107.93</v>
      </c>
      <c r="BY69" s="150">
        <f t="shared" si="229"/>
        <v>1503096.3599999999</v>
      </c>
      <c r="BZ69" s="155">
        <f t="shared" si="230"/>
        <v>1537667.5799999998</v>
      </c>
      <c r="CA69" s="179">
        <f t="shared" si="230"/>
        <v>1573033.93</v>
      </c>
      <c r="CB69" s="203">
        <f t="shared" si="168"/>
        <v>149438.22334999999</v>
      </c>
      <c r="CC69" s="198">
        <f t="shared" si="231"/>
        <v>1609213.71</v>
      </c>
      <c r="CD69" s="206">
        <f t="shared" si="169"/>
        <v>152875.30244999999</v>
      </c>
      <c r="CE69" s="150">
        <f t="shared" si="232"/>
        <v>1646225.63</v>
      </c>
      <c r="CF69" s="206">
        <f t="shared" si="170"/>
        <v>156391.43484999999</v>
      </c>
      <c r="CG69" s="150">
        <f t="shared" si="233"/>
        <v>1684088.8199999998</v>
      </c>
      <c r="CH69" s="206">
        <f t="shared" si="171"/>
        <v>159988.43789999999</v>
      </c>
      <c r="CI69" s="150">
        <f t="shared" si="234"/>
        <v>1722822.8599999999</v>
      </c>
      <c r="CJ69" s="206">
        <f t="shared" si="172"/>
        <v>163668.17169999998</v>
      </c>
      <c r="CK69" s="150">
        <f t="shared" si="235"/>
        <v>1762447.7899999998</v>
      </c>
      <c r="CL69" s="206">
        <f t="shared" si="173"/>
        <v>167432.54004999998</v>
      </c>
      <c r="CM69" s="150">
        <f t="shared" si="236"/>
        <v>1802984.0899999999</v>
      </c>
      <c r="CN69" s="150">
        <f t="shared" si="237"/>
        <v>1844452.7199999997</v>
      </c>
      <c r="CO69" s="157"/>
      <c r="CP69" s="148"/>
      <c r="CQ69" s="148"/>
      <c r="CR69" s="148"/>
      <c r="CS69" s="148"/>
      <c r="CT69" s="148"/>
      <c r="CU69" s="151">
        <v>120000</v>
      </c>
      <c r="CV69" s="150">
        <f t="shared" si="187"/>
        <v>126000</v>
      </c>
      <c r="CW69" s="150">
        <f t="shared" ref="CW69:DG69" si="245">CV69+ROUND(CV69*CW$6,2)</f>
        <v>144774</v>
      </c>
      <c r="CX69" s="150">
        <f t="shared" si="245"/>
        <v>145353.1</v>
      </c>
      <c r="CY69" s="150">
        <f t="shared" si="245"/>
        <v>148696.22</v>
      </c>
      <c r="CZ69" s="155">
        <f t="shared" si="245"/>
        <v>152413.63</v>
      </c>
      <c r="DA69" s="155">
        <f t="shared" si="245"/>
        <v>156223.97</v>
      </c>
      <c r="DB69" s="155">
        <f t="shared" si="245"/>
        <v>160129.57</v>
      </c>
      <c r="DC69" s="155">
        <f t="shared" si="245"/>
        <v>164132.81</v>
      </c>
      <c r="DD69" s="155">
        <f t="shared" si="245"/>
        <v>168236.13</v>
      </c>
      <c r="DE69" s="155">
        <f t="shared" si="245"/>
        <v>172442.03</v>
      </c>
      <c r="DF69" s="155">
        <f t="shared" si="245"/>
        <v>176753.08</v>
      </c>
      <c r="DG69" s="155">
        <f t="shared" si="245"/>
        <v>181171.90999999997</v>
      </c>
      <c r="DH69" s="236">
        <v>0</v>
      </c>
      <c r="DI69" s="243">
        <f t="shared" si="199"/>
        <v>1573033.93</v>
      </c>
      <c r="DJ69" s="248">
        <f t="shared" si="175"/>
        <v>861.46436473165386</v>
      </c>
      <c r="DK69" s="382">
        <f>CA69/'1.piel'!M68</f>
        <v>861.46436473165386</v>
      </c>
      <c r="DL69">
        <f>DH69/'1.piel'!G68</f>
        <v>0</v>
      </c>
    </row>
    <row r="70" spans="2:116" x14ac:dyDescent="0.25">
      <c r="B70" s="52">
        <v>40</v>
      </c>
      <c r="C70" s="53" t="s">
        <v>81</v>
      </c>
      <c r="D70" s="36" t="s">
        <v>255</v>
      </c>
      <c r="E70" s="110">
        <v>4009</v>
      </c>
      <c r="F70" s="178">
        <v>3740</v>
      </c>
      <c r="G70" s="63">
        <v>601</v>
      </c>
      <c r="H70" s="99">
        <f t="shared" si="114"/>
        <v>4341</v>
      </c>
      <c r="I70" s="94">
        <f t="shared" si="240"/>
        <v>0.59679144385026739</v>
      </c>
      <c r="J70" s="103">
        <v>2232</v>
      </c>
      <c r="K70" s="98">
        <f t="shared" si="241"/>
        <v>0.40320855614973261</v>
      </c>
      <c r="L70" s="99">
        <f t="shared" si="117"/>
        <v>1508</v>
      </c>
      <c r="M70" s="174">
        <f t="shared" si="118"/>
        <v>33.025199999999998</v>
      </c>
      <c r="N70" s="64">
        <f t="shared" si="119"/>
        <v>74.306700000000006</v>
      </c>
      <c r="O70" s="64">
        <f t="shared" si="120"/>
        <v>33.025199999999998</v>
      </c>
      <c r="P70" s="64">
        <f t="shared" si="121"/>
        <v>6.6050399999999998</v>
      </c>
      <c r="Q70" s="64">
        <f t="shared" si="122"/>
        <v>1.10084</v>
      </c>
      <c r="R70" s="64">
        <f t="shared" si="123"/>
        <v>7.1554599999999997</v>
      </c>
      <c r="S70" s="64">
        <f t="shared" si="124"/>
        <v>12.10924</v>
      </c>
      <c r="T70" s="64">
        <f t="shared" si="125"/>
        <v>8.2562999999999995</v>
      </c>
      <c r="U70" s="64">
        <f t="shared" si="126"/>
        <v>1.65126</v>
      </c>
      <c r="V70" s="64">
        <f t="shared" si="127"/>
        <v>0.27521000000000001</v>
      </c>
      <c r="W70" s="64">
        <f t="shared" si="128"/>
        <v>10.457979999999999</v>
      </c>
      <c r="X70" s="64">
        <f t="shared" si="129"/>
        <v>17.613440000000001</v>
      </c>
      <c r="Y70" s="64">
        <f t="shared" si="130"/>
        <v>8.2562999999999995</v>
      </c>
      <c r="Z70" s="64">
        <f t="shared" si="131"/>
        <v>0</v>
      </c>
      <c r="AA70" s="64">
        <f t="shared" si="132"/>
        <v>0</v>
      </c>
      <c r="AB70" s="64">
        <f t="shared" si="133"/>
        <v>15.411759999999999</v>
      </c>
      <c r="AC70" s="64">
        <f t="shared" si="134"/>
        <v>44.584020000000002</v>
      </c>
      <c r="AD70" s="64">
        <f t="shared" si="135"/>
        <v>16.512599999999999</v>
      </c>
      <c r="AE70" s="64">
        <f t="shared" si="136"/>
        <v>4.9537800000000001</v>
      </c>
      <c r="AF70" s="64">
        <f t="shared" si="137"/>
        <v>0.82562999999999998</v>
      </c>
      <c r="AG70" s="65">
        <f t="shared" si="138"/>
        <v>62.042700000000004</v>
      </c>
      <c r="AH70" s="65">
        <f t="shared" si="139"/>
        <v>139.59607500000001</v>
      </c>
      <c r="AI70" s="65">
        <f t="shared" si="140"/>
        <v>62.042700000000004</v>
      </c>
      <c r="AJ70" s="65">
        <f t="shared" si="141"/>
        <v>12.40854</v>
      </c>
      <c r="AK70" s="65">
        <f t="shared" si="142"/>
        <v>2.0680900000000002</v>
      </c>
      <c r="AL70" s="66">
        <v>0.9</v>
      </c>
      <c r="AM70" s="66">
        <v>0.75</v>
      </c>
      <c r="AN70" s="66">
        <v>0.9</v>
      </c>
      <c r="AO70" s="66">
        <v>0.1</v>
      </c>
      <c r="AP70" s="66">
        <v>0.1</v>
      </c>
      <c r="AQ70" s="65">
        <f t="shared" si="143"/>
        <v>62.278344000000004</v>
      </c>
      <c r="AR70" s="65">
        <f t="shared" si="144"/>
        <v>113.77898625</v>
      </c>
      <c r="AS70" s="65">
        <f t="shared" si="145"/>
        <v>63.269100000000009</v>
      </c>
      <c r="AT70" s="65">
        <f t="shared" si="146"/>
        <v>1.4059800000000002</v>
      </c>
      <c r="AU70" s="65">
        <f t="shared" si="147"/>
        <v>0.23433000000000004</v>
      </c>
      <c r="AV70" s="65">
        <f t="shared" si="148"/>
        <v>6.9198159999999973</v>
      </c>
      <c r="AW70" s="65">
        <f t="shared" si="149"/>
        <v>37.92632875000001</v>
      </c>
      <c r="AX70" s="65">
        <f t="shared" si="150"/>
        <v>7.0298999999999978</v>
      </c>
      <c r="AY70" s="65">
        <f t="shared" si="151"/>
        <v>12.653820000000001</v>
      </c>
      <c r="AZ70" s="65">
        <f t="shared" si="152"/>
        <v>2.1089700000000002</v>
      </c>
      <c r="BA70" s="67">
        <f t="shared" si="153"/>
        <v>95.067900000000009</v>
      </c>
      <c r="BB70" s="67">
        <f t="shared" si="154"/>
        <v>213.90277500000002</v>
      </c>
      <c r="BC70" s="67">
        <f t="shared" si="155"/>
        <v>95.067900000000009</v>
      </c>
      <c r="BD70" s="68">
        <f t="shared" si="156"/>
        <v>19.013580000000001</v>
      </c>
      <c r="BE70" s="68">
        <f t="shared" si="157"/>
        <v>3.1689300000000005</v>
      </c>
      <c r="BF70" s="67">
        <f t="shared" si="158"/>
        <v>22.331575999999998</v>
      </c>
      <c r="BG70" s="67">
        <f t="shared" si="159"/>
        <v>82.51034875000002</v>
      </c>
      <c r="BH70" s="67">
        <f t="shared" si="160"/>
        <v>23.542499999999997</v>
      </c>
      <c r="BI70" s="68">
        <f t="shared" si="161"/>
        <v>17.607600000000001</v>
      </c>
      <c r="BJ70" s="68">
        <f t="shared" si="162"/>
        <v>2.9346000000000001</v>
      </c>
      <c r="BK70" s="67">
        <f t="shared" si="163"/>
        <v>72.736323999999996</v>
      </c>
      <c r="BL70" s="67">
        <f t="shared" si="164"/>
        <v>131.39242625</v>
      </c>
      <c r="BM70" s="67">
        <f t="shared" si="165"/>
        <v>71.525400000000005</v>
      </c>
      <c r="BN70" s="68">
        <f t="shared" si="166"/>
        <v>1.4059800000000002</v>
      </c>
      <c r="BO70" s="187">
        <f t="shared" si="167"/>
        <v>0.23433000000000004</v>
      </c>
      <c r="BP70" s="157"/>
      <c r="BQ70" s="148"/>
      <c r="BR70" s="148"/>
      <c r="BS70" s="148"/>
      <c r="BT70" s="148"/>
      <c r="BU70" s="148"/>
      <c r="BV70" s="151">
        <v>872050</v>
      </c>
      <c r="BW70" s="150">
        <f t="shared" si="227"/>
        <v>915652.5</v>
      </c>
      <c r="BX70" s="150">
        <f t="shared" si="228"/>
        <v>1052084.72</v>
      </c>
      <c r="BY70" s="150">
        <f t="shared" si="229"/>
        <v>1056293.06</v>
      </c>
      <c r="BZ70" s="155">
        <f t="shared" si="230"/>
        <v>1080587.8</v>
      </c>
      <c r="CA70" s="179">
        <f t="shared" si="230"/>
        <v>1105441.32</v>
      </c>
      <c r="CB70" s="203">
        <f t="shared" si="168"/>
        <v>105016.92540000001</v>
      </c>
      <c r="CC70" s="198">
        <f t="shared" si="231"/>
        <v>1130866.47</v>
      </c>
      <c r="CD70" s="206">
        <f t="shared" si="169"/>
        <v>107432.31465</v>
      </c>
      <c r="CE70" s="150">
        <f t="shared" si="232"/>
        <v>1156876.3999999999</v>
      </c>
      <c r="CF70" s="206">
        <f t="shared" si="170"/>
        <v>109903.25799999999</v>
      </c>
      <c r="CG70" s="150">
        <f t="shared" si="233"/>
        <v>1183484.5599999998</v>
      </c>
      <c r="CH70" s="206">
        <f t="shared" si="171"/>
        <v>112431.03319999999</v>
      </c>
      <c r="CI70" s="150">
        <f t="shared" si="234"/>
        <v>1210704.6999999997</v>
      </c>
      <c r="CJ70" s="206">
        <f t="shared" si="172"/>
        <v>115016.94649999998</v>
      </c>
      <c r="CK70" s="150">
        <f t="shared" si="235"/>
        <v>1238550.9099999997</v>
      </c>
      <c r="CL70" s="206">
        <f t="shared" si="173"/>
        <v>117662.33644999997</v>
      </c>
      <c r="CM70" s="150">
        <f t="shared" si="236"/>
        <v>1267037.5799999996</v>
      </c>
      <c r="CN70" s="150">
        <f t="shared" si="237"/>
        <v>1296179.4399999997</v>
      </c>
      <c r="CO70" s="157"/>
      <c r="CP70" s="148"/>
      <c r="CQ70" s="148"/>
      <c r="CR70" s="148"/>
      <c r="CS70" s="148"/>
      <c r="CT70" s="148"/>
      <c r="CU70" s="151">
        <v>0</v>
      </c>
      <c r="CV70" s="150">
        <f t="shared" si="187"/>
        <v>0</v>
      </c>
      <c r="CW70" s="150">
        <f t="shared" ref="CW70:DG70" si="246">CV70+ROUND(CV70*CW$6,2)</f>
        <v>0</v>
      </c>
      <c r="CX70" s="150">
        <f t="shared" si="246"/>
        <v>0</v>
      </c>
      <c r="CY70" s="150">
        <f t="shared" si="246"/>
        <v>0</v>
      </c>
      <c r="CZ70" s="155">
        <f t="shared" si="246"/>
        <v>0</v>
      </c>
      <c r="DA70" s="155">
        <f t="shared" si="246"/>
        <v>0</v>
      </c>
      <c r="DB70" s="155">
        <f t="shared" si="246"/>
        <v>0</v>
      </c>
      <c r="DC70" s="155">
        <f t="shared" si="246"/>
        <v>0</v>
      </c>
      <c r="DD70" s="155">
        <f t="shared" si="246"/>
        <v>0</v>
      </c>
      <c r="DE70" s="155">
        <f t="shared" si="246"/>
        <v>0</v>
      </c>
      <c r="DF70" s="155">
        <f t="shared" si="246"/>
        <v>0</v>
      </c>
      <c r="DG70" s="155">
        <f t="shared" si="246"/>
        <v>0</v>
      </c>
      <c r="DH70" s="236">
        <v>0</v>
      </c>
      <c r="DI70" s="243">
        <f t="shared" si="199"/>
        <v>1105441.32</v>
      </c>
      <c r="DJ70" s="248">
        <f t="shared" si="175"/>
        <v>733.05127320954909</v>
      </c>
      <c r="DK70" s="382">
        <f>CA70/'1.piel'!M69</f>
        <v>733.05127320954909</v>
      </c>
      <c r="DL70">
        <f>DH70/'1.piel'!G69</f>
        <v>0</v>
      </c>
    </row>
    <row r="71" spans="2:116" x14ac:dyDescent="0.25">
      <c r="B71" s="52">
        <v>45</v>
      </c>
      <c r="C71" s="53" t="s">
        <v>86</v>
      </c>
      <c r="D71" s="40" t="s">
        <v>255</v>
      </c>
      <c r="E71" s="110">
        <v>3616</v>
      </c>
      <c r="F71" s="178">
        <v>4443</v>
      </c>
      <c r="G71" s="63">
        <v>1332</v>
      </c>
      <c r="H71" s="99">
        <f t="shared" si="114"/>
        <v>5775</v>
      </c>
      <c r="I71" s="94">
        <f t="shared" si="240"/>
        <v>1</v>
      </c>
      <c r="J71" s="89">
        <v>4443</v>
      </c>
      <c r="K71" s="98">
        <f t="shared" si="241"/>
        <v>0</v>
      </c>
      <c r="L71" s="99">
        <f t="shared" si="117"/>
        <v>0</v>
      </c>
      <c r="M71" s="174">
        <f t="shared" si="118"/>
        <v>0</v>
      </c>
      <c r="N71" s="64">
        <f t="shared" si="119"/>
        <v>0</v>
      </c>
      <c r="O71" s="64">
        <f t="shared" si="120"/>
        <v>0</v>
      </c>
      <c r="P71" s="64">
        <f t="shared" si="121"/>
        <v>0</v>
      </c>
      <c r="Q71" s="64">
        <f t="shared" si="122"/>
        <v>0</v>
      </c>
      <c r="R71" s="64">
        <f t="shared" si="123"/>
        <v>0</v>
      </c>
      <c r="S71" s="64">
        <f t="shared" si="124"/>
        <v>0</v>
      </c>
      <c r="T71" s="64">
        <f t="shared" si="125"/>
        <v>0</v>
      </c>
      <c r="U71" s="64">
        <f t="shared" si="126"/>
        <v>0</v>
      </c>
      <c r="V71" s="64">
        <f t="shared" si="127"/>
        <v>0</v>
      </c>
      <c r="W71" s="64">
        <f t="shared" si="128"/>
        <v>0</v>
      </c>
      <c r="X71" s="64">
        <f t="shared" si="129"/>
        <v>0</v>
      </c>
      <c r="Y71" s="64">
        <f t="shared" si="130"/>
        <v>0</v>
      </c>
      <c r="Z71" s="64">
        <f t="shared" si="131"/>
        <v>0</v>
      </c>
      <c r="AA71" s="64">
        <f t="shared" si="132"/>
        <v>0</v>
      </c>
      <c r="AB71" s="64">
        <f t="shared" si="133"/>
        <v>0</v>
      </c>
      <c r="AC71" s="64">
        <f t="shared" si="134"/>
        <v>0</v>
      </c>
      <c r="AD71" s="64">
        <f t="shared" si="135"/>
        <v>0</v>
      </c>
      <c r="AE71" s="64">
        <f t="shared" si="136"/>
        <v>0</v>
      </c>
      <c r="AF71" s="64">
        <f t="shared" si="137"/>
        <v>0</v>
      </c>
      <c r="AG71" s="65">
        <f t="shared" si="138"/>
        <v>126.4725</v>
      </c>
      <c r="AH71" s="65">
        <f t="shared" si="139"/>
        <v>284.56312500000001</v>
      </c>
      <c r="AI71" s="65">
        <f t="shared" si="140"/>
        <v>126.4725</v>
      </c>
      <c r="AJ71" s="65">
        <f t="shared" si="141"/>
        <v>25.294499999999999</v>
      </c>
      <c r="AK71" s="65">
        <f t="shared" si="142"/>
        <v>4.2157499999999999</v>
      </c>
      <c r="AL71" s="66">
        <v>0.9</v>
      </c>
      <c r="AM71" s="66">
        <v>0.75</v>
      </c>
      <c r="AN71" s="66">
        <v>0.9</v>
      </c>
      <c r="AO71" s="66">
        <v>0.1</v>
      </c>
      <c r="AP71" s="66">
        <v>0.1</v>
      </c>
      <c r="AQ71" s="65">
        <f t="shared" si="143"/>
        <v>113.82525</v>
      </c>
      <c r="AR71" s="65">
        <f t="shared" si="144"/>
        <v>213.42234375000001</v>
      </c>
      <c r="AS71" s="65">
        <f t="shared" si="145"/>
        <v>113.82525</v>
      </c>
      <c r="AT71" s="65">
        <f t="shared" si="146"/>
        <v>2.5294500000000002</v>
      </c>
      <c r="AU71" s="65">
        <f t="shared" si="147"/>
        <v>0.42157500000000003</v>
      </c>
      <c r="AV71" s="65">
        <f t="shared" si="148"/>
        <v>12.64725</v>
      </c>
      <c r="AW71" s="65">
        <f t="shared" si="149"/>
        <v>71.140781250000003</v>
      </c>
      <c r="AX71" s="65">
        <f t="shared" si="150"/>
        <v>12.64725</v>
      </c>
      <c r="AY71" s="65">
        <f t="shared" si="151"/>
        <v>22.765049999999999</v>
      </c>
      <c r="AZ71" s="65">
        <f t="shared" si="152"/>
        <v>3.7941750000000001</v>
      </c>
      <c r="BA71" s="67">
        <f t="shared" si="153"/>
        <v>126.4725</v>
      </c>
      <c r="BB71" s="67">
        <f t="shared" si="154"/>
        <v>284.56312500000001</v>
      </c>
      <c r="BC71" s="67">
        <f t="shared" si="155"/>
        <v>126.4725</v>
      </c>
      <c r="BD71" s="68">
        <f t="shared" si="156"/>
        <v>25.294499999999999</v>
      </c>
      <c r="BE71" s="68">
        <f t="shared" si="157"/>
        <v>4.2157499999999999</v>
      </c>
      <c r="BF71" s="67">
        <f t="shared" si="158"/>
        <v>12.64725</v>
      </c>
      <c r="BG71" s="67">
        <f t="shared" si="159"/>
        <v>71.140781250000003</v>
      </c>
      <c r="BH71" s="67">
        <f t="shared" si="160"/>
        <v>12.64725</v>
      </c>
      <c r="BI71" s="68">
        <f t="shared" si="161"/>
        <v>22.765049999999999</v>
      </c>
      <c r="BJ71" s="68">
        <f t="shared" si="162"/>
        <v>3.7941750000000001</v>
      </c>
      <c r="BK71" s="67">
        <f t="shared" si="163"/>
        <v>113.82525</v>
      </c>
      <c r="BL71" s="67">
        <f t="shared" si="164"/>
        <v>213.42234375000001</v>
      </c>
      <c r="BM71" s="67">
        <f t="shared" si="165"/>
        <v>113.82525</v>
      </c>
      <c r="BN71" s="68">
        <f t="shared" si="166"/>
        <v>2.5294500000000002</v>
      </c>
      <c r="BO71" s="187">
        <f t="shared" si="167"/>
        <v>0.42157500000000003</v>
      </c>
      <c r="BP71" s="157"/>
      <c r="BQ71" s="148"/>
      <c r="BR71" s="148"/>
      <c r="BS71" s="148"/>
      <c r="BT71" s="148"/>
      <c r="BU71" s="148"/>
      <c r="BV71" s="151">
        <v>0</v>
      </c>
      <c r="BW71" s="150">
        <f t="shared" si="227"/>
        <v>0</v>
      </c>
      <c r="BX71" s="150">
        <f t="shared" si="228"/>
        <v>0</v>
      </c>
      <c r="BY71" s="150">
        <f t="shared" si="229"/>
        <v>0</v>
      </c>
      <c r="BZ71" s="155">
        <f t="shared" si="230"/>
        <v>0</v>
      </c>
      <c r="CA71" s="179">
        <f t="shared" si="230"/>
        <v>0</v>
      </c>
      <c r="CB71" s="203">
        <f t="shared" si="168"/>
        <v>0</v>
      </c>
      <c r="CC71" s="198">
        <f t="shared" si="231"/>
        <v>0</v>
      </c>
      <c r="CD71" s="206">
        <f t="shared" si="169"/>
        <v>0</v>
      </c>
      <c r="CE71" s="150">
        <f t="shared" si="232"/>
        <v>0</v>
      </c>
      <c r="CF71" s="206">
        <f t="shared" si="170"/>
        <v>0</v>
      </c>
      <c r="CG71" s="150">
        <f t="shared" si="233"/>
        <v>0</v>
      </c>
      <c r="CH71" s="206">
        <f t="shared" si="171"/>
        <v>0</v>
      </c>
      <c r="CI71" s="150">
        <f t="shared" si="234"/>
        <v>0</v>
      </c>
      <c r="CJ71" s="206">
        <f t="shared" si="172"/>
        <v>0</v>
      </c>
      <c r="CK71" s="150">
        <f t="shared" si="235"/>
        <v>0</v>
      </c>
      <c r="CL71" s="206">
        <f t="shared" si="173"/>
        <v>0</v>
      </c>
      <c r="CM71" s="150">
        <f t="shared" si="236"/>
        <v>0</v>
      </c>
      <c r="CN71" s="150">
        <f t="shared" si="237"/>
        <v>0</v>
      </c>
      <c r="CO71" s="157"/>
      <c r="CP71" s="148"/>
      <c r="CQ71" s="148"/>
      <c r="CR71" s="148"/>
      <c r="CS71" s="148"/>
      <c r="CT71" s="148"/>
      <c r="CU71" s="151">
        <v>210000</v>
      </c>
      <c r="CV71" s="150">
        <f t="shared" si="187"/>
        <v>220500</v>
      </c>
      <c r="CW71" s="150">
        <f t="shared" ref="CW71:DG71" si="247">CV71+ROUND(CV71*CW$6,2)</f>
        <v>253354.5</v>
      </c>
      <c r="CX71" s="150">
        <f t="shared" si="247"/>
        <v>254367.92</v>
      </c>
      <c r="CY71" s="150">
        <f t="shared" si="247"/>
        <v>260218.38</v>
      </c>
      <c r="CZ71" s="155">
        <f t="shared" si="247"/>
        <v>266723.84000000003</v>
      </c>
      <c r="DA71" s="155">
        <f t="shared" si="247"/>
        <v>273391.94</v>
      </c>
      <c r="DB71" s="155">
        <f t="shared" si="247"/>
        <v>280226.74</v>
      </c>
      <c r="DC71" s="155">
        <f t="shared" si="247"/>
        <v>287232.40999999997</v>
      </c>
      <c r="DD71" s="155">
        <f t="shared" si="247"/>
        <v>294413.21999999997</v>
      </c>
      <c r="DE71" s="155">
        <f t="shared" si="247"/>
        <v>301773.55</v>
      </c>
      <c r="DF71" s="155">
        <f t="shared" si="247"/>
        <v>309317.89</v>
      </c>
      <c r="DG71" s="155">
        <f t="shared" si="247"/>
        <v>317050.84000000003</v>
      </c>
      <c r="DH71" s="236">
        <v>0</v>
      </c>
      <c r="DI71" s="243">
        <f t="shared" si="199"/>
        <v>0</v>
      </c>
      <c r="DJ71" s="248">
        <f t="shared" si="175"/>
        <v>0</v>
      </c>
      <c r="DK71" s="382">
        <v>0</v>
      </c>
      <c r="DL71">
        <f>DH71/'1.piel'!G70</f>
        <v>0</v>
      </c>
    </row>
    <row r="72" spans="2:116" x14ac:dyDescent="0.25">
      <c r="B72" s="52">
        <v>48</v>
      </c>
      <c r="C72" s="53" t="s">
        <v>90</v>
      </c>
      <c r="D72" s="36" t="s">
        <v>255</v>
      </c>
      <c r="E72" s="110">
        <v>3201</v>
      </c>
      <c r="F72" s="178">
        <v>3127</v>
      </c>
      <c r="G72" s="36">
        <v>0</v>
      </c>
      <c r="H72" s="99">
        <f t="shared" si="114"/>
        <v>3127</v>
      </c>
      <c r="I72" s="94">
        <f t="shared" si="240"/>
        <v>1</v>
      </c>
      <c r="J72" s="89">
        <v>3127</v>
      </c>
      <c r="K72" s="98">
        <f t="shared" si="241"/>
        <v>0</v>
      </c>
      <c r="L72" s="99">
        <f t="shared" si="117"/>
        <v>0</v>
      </c>
      <c r="M72" s="174">
        <f t="shared" si="118"/>
        <v>0</v>
      </c>
      <c r="N72" s="64">
        <f t="shared" si="119"/>
        <v>0</v>
      </c>
      <c r="O72" s="64">
        <f t="shared" si="120"/>
        <v>0</v>
      </c>
      <c r="P72" s="64">
        <f t="shared" si="121"/>
        <v>0</v>
      </c>
      <c r="Q72" s="64">
        <f t="shared" si="122"/>
        <v>0</v>
      </c>
      <c r="R72" s="64">
        <f t="shared" si="123"/>
        <v>0</v>
      </c>
      <c r="S72" s="64">
        <f t="shared" si="124"/>
        <v>0</v>
      </c>
      <c r="T72" s="64">
        <f t="shared" si="125"/>
        <v>0</v>
      </c>
      <c r="U72" s="64">
        <f t="shared" si="126"/>
        <v>0</v>
      </c>
      <c r="V72" s="64">
        <f t="shared" si="127"/>
        <v>0</v>
      </c>
      <c r="W72" s="64">
        <f t="shared" si="128"/>
        <v>0</v>
      </c>
      <c r="X72" s="64">
        <f t="shared" si="129"/>
        <v>0</v>
      </c>
      <c r="Y72" s="64">
        <f t="shared" si="130"/>
        <v>0</v>
      </c>
      <c r="Z72" s="64">
        <f t="shared" si="131"/>
        <v>0</v>
      </c>
      <c r="AA72" s="64">
        <f t="shared" si="132"/>
        <v>0</v>
      </c>
      <c r="AB72" s="64">
        <f t="shared" si="133"/>
        <v>0</v>
      </c>
      <c r="AC72" s="64">
        <f t="shared" si="134"/>
        <v>0</v>
      </c>
      <c r="AD72" s="64">
        <f t="shared" si="135"/>
        <v>0</v>
      </c>
      <c r="AE72" s="64">
        <f t="shared" si="136"/>
        <v>0</v>
      </c>
      <c r="AF72" s="64">
        <f t="shared" si="137"/>
        <v>0</v>
      </c>
      <c r="AG72" s="65">
        <f t="shared" si="138"/>
        <v>68.481300000000005</v>
      </c>
      <c r="AH72" s="65">
        <f t="shared" si="139"/>
        <v>154.08292499999999</v>
      </c>
      <c r="AI72" s="65">
        <f t="shared" si="140"/>
        <v>68.481300000000005</v>
      </c>
      <c r="AJ72" s="65">
        <f t="shared" si="141"/>
        <v>13.696260000000001</v>
      </c>
      <c r="AK72" s="65">
        <f t="shared" si="142"/>
        <v>2.2827099999999998</v>
      </c>
      <c r="AL72" s="66">
        <v>0.9</v>
      </c>
      <c r="AM72" s="66">
        <v>0.75</v>
      </c>
      <c r="AN72" s="66">
        <v>0.9</v>
      </c>
      <c r="AO72" s="66">
        <v>0.1</v>
      </c>
      <c r="AP72" s="66">
        <v>0.1</v>
      </c>
      <c r="AQ72" s="65">
        <f t="shared" si="143"/>
        <v>61.633170000000007</v>
      </c>
      <c r="AR72" s="65">
        <f t="shared" si="144"/>
        <v>115.56219374999999</v>
      </c>
      <c r="AS72" s="65">
        <f t="shared" si="145"/>
        <v>61.633170000000007</v>
      </c>
      <c r="AT72" s="65">
        <f t="shared" si="146"/>
        <v>1.3696260000000002</v>
      </c>
      <c r="AU72" s="65">
        <f t="shared" si="147"/>
        <v>0.228271</v>
      </c>
      <c r="AV72" s="65">
        <f t="shared" si="148"/>
        <v>6.8481299999999976</v>
      </c>
      <c r="AW72" s="65">
        <f t="shared" si="149"/>
        <v>38.520731249999997</v>
      </c>
      <c r="AX72" s="65">
        <f t="shared" si="150"/>
        <v>6.8481299999999976</v>
      </c>
      <c r="AY72" s="65">
        <f t="shared" si="151"/>
        <v>12.326634</v>
      </c>
      <c r="AZ72" s="65">
        <f t="shared" si="152"/>
        <v>2.0544389999999999</v>
      </c>
      <c r="BA72" s="67">
        <f t="shared" si="153"/>
        <v>68.481300000000005</v>
      </c>
      <c r="BB72" s="67">
        <f t="shared" si="154"/>
        <v>154.08292499999999</v>
      </c>
      <c r="BC72" s="67">
        <f t="shared" si="155"/>
        <v>68.481300000000005</v>
      </c>
      <c r="BD72" s="68">
        <f t="shared" si="156"/>
        <v>13.696260000000001</v>
      </c>
      <c r="BE72" s="68">
        <f t="shared" si="157"/>
        <v>2.2827099999999998</v>
      </c>
      <c r="BF72" s="67">
        <f t="shared" si="158"/>
        <v>6.8481299999999976</v>
      </c>
      <c r="BG72" s="67">
        <f t="shared" si="159"/>
        <v>38.520731249999997</v>
      </c>
      <c r="BH72" s="67">
        <f t="shared" si="160"/>
        <v>6.8481299999999976</v>
      </c>
      <c r="BI72" s="68">
        <f t="shared" si="161"/>
        <v>12.326634</v>
      </c>
      <c r="BJ72" s="68">
        <f t="shared" si="162"/>
        <v>2.0544389999999999</v>
      </c>
      <c r="BK72" s="67">
        <f t="shared" si="163"/>
        <v>61.633170000000007</v>
      </c>
      <c r="BL72" s="67">
        <f t="shared" si="164"/>
        <v>115.56219374999999</v>
      </c>
      <c r="BM72" s="67">
        <f t="shared" si="165"/>
        <v>61.633170000000007</v>
      </c>
      <c r="BN72" s="68">
        <f t="shared" si="166"/>
        <v>1.3696260000000002</v>
      </c>
      <c r="BO72" s="187">
        <f t="shared" si="167"/>
        <v>0.228271</v>
      </c>
      <c r="BP72" s="157"/>
      <c r="BQ72" s="148"/>
      <c r="BR72" s="148"/>
      <c r="BS72" s="148"/>
      <c r="BT72" s="148"/>
      <c r="BU72" s="148"/>
      <c r="BV72" s="151">
        <v>0</v>
      </c>
      <c r="BW72" s="150">
        <f t="shared" si="227"/>
        <v>0</v>
      </c>
      <c r="BX72" s="150">
        <f t="shared" si="228"/>
        <v>0</v>
      </c>
      <c r="BY72" s="150">
        <f t="shared" si="229"/>
        <v>0</v>
      </c>
      <c r="BZ72" s="155">
        <f t="shared" si="230"/>
        <v>0</v>
      </c>
      <c r="CA72" s="179">
        <f t="shared" si="230"/>
        <v>0</v>
      </c>
      <c r="CB72" s="203">
        <f t="shared" si="168"/>
        <v>0</v>
      </c>
      <c r="CC72" s="198">
        <f t="shared" si="231"/>
        <v>0</v>
      </c>
      <c r="CD72" s="206">
        <f t="shared" si="169"/>
        <v>0</v>
      </c>
      <c r="CE72" s="150">
        <f t="shared" si="232"/>
        <v>0</v>
      </c>
      <c r="CF72" s="206">
        <f t="shared" si="170"/>
        <v>0</v>
      </c>
      <c r="CG72" s="150">
        <f t="shared" si="233"/>
        <v>0</v>
      </c>
      <c r="CH72" s="206">
        <f t="shared" si="171"/>
        <v>0</v>
      </c>
      <c r="CI72" s="150">
        <f t="shared" si="234"/>
        <v>0</v>
      </c>
      <c r="CJ72" s="206">
        <f t="shared" si="172"/>
        <v>0</v>
      </c>
      <c r="CK72" s="150">
        <f t="shared" si="235"/>
        <v>0</v>
      </c>
      <c r="CL72" s="206">
        <f t="shared" si="173"/>
        <v>0</v>
      </c>
      <c r="CM72" s="150">
        <f t="shared" si="236"/>
        <v>0</v>
      </c>
      <c r="CN72" s="150">
        <f t="shared" si="237"/>
        <v>0</v>
      </c>
      <c r="CO72" s="157"/>
      <c r="CP72" s="148"/>
      <c r="CQ72" s="148"/>
      <c r="CR72" s="148"/>
      <c r="CS72" s="148"/>
      <c r="CT72" s="148"/>
      <c r="CU72" s="151">
        <v>0</v>
      </c>
      <c r="CV72" s="150">
        <f t="shared" si="187"/>
        <v>0</v>
      </c>
      <c r="CW72" s="150">
        <f t="shared" ref="CW72:DG72" si="248">CV72+ROUND(CV72*CW$6,2)</f>
        <v>0</v>
      </c>
      <c r="CX72" s="150">
        <f t="shared" si="248"/>
        <v>0</v>
      </c>
      <c r="CY72" s="150">
        <f t="shared" si="248"/>
        <v>0</v>
      </c>
      <c r="CZ72" s="155">
        <f t="shared" si="248"/>
        <v>0</v>
      </c>
      <c r="DA72" s="155">
        <f t="shared" si="248"/>
        <v>0</v>
      </c>
      <c r="DB72" s="155">
        <f t="shared" si="248"/>
        <v>0</v>
      </c>
      <c r="DC72" s="155">
        <f t="shared" si="248"/>
        <v>0</v>
      </c>
      <c r="DD72" s="155">
        <f t="shared" si="248"/>
        <v>0</v>
      </c>
      <c r="DE72" s="155">
        <f t="shared" si="248"/>
        <v>0</v>
      </c>
      <c r="DF72" s="155">
        <f t="shared" si="248"/>
        <v>0</v>
      </c>
      <c r="DG72" s="155">
        <f t="shared" si="248"/>
        <v>0</v>
      </c>
      <c r="DH72" s="236">
        <v>0</v>
      </c>
      <c r="DI72" s="243">
        <f t="shared" si="199"/>
        <v>0</v>
      </c>
      <c r="DJ72" s="248">
        <f t="shared" si="175"/>
        <v>0</v>
      </c>
      <c r="DK72" s="382">
        <v>0</v>
      </c>
      <c r="DL72">
        <f>DH72/'1.piel'!G71</f>
        <v>0</v>
      </c>
    </row>
    <row r="73" spans="2:116" x14ac:dyDescent="0.25">
      <c r="B73" s="52">
        <v>58</v>
      </c>
      <c r="C73" s="53" t="s">
        <v>15</v>
      </c>
      <c r="D73" s="40" t="s">
        <v>255</v>
      </c>
      <c r="E73" s="110">
        <v>2617</v>
      </c>
      <c r="F73" s="178">
        <v>2483</v>
      </c>
      <c r="G73" s="63">
        <v>1457</v>
      </c>
      <c r="H73" s="99">
        <f t="shared" si="114"/>
        <v>3940</v>
      </c>
      <c r="I73" s="94">
        <f t="shared" si="240"/>
        <v>0.84897301651228352</v>
      </c>
      <c r="J73" s="89">
        <v>2108</v>
      </c>
      <c r="K73" s="98">
        <f t="shared" si="241"/>
        <v>0.15102698348771648</v>
      </c>
      <c r="L73" s="99">
        <f t="shared" si="117"/>
        <v>375</v>
      </c>
      <c r="M73" s="174">
        <f t="shared" si="118"/>
        <v>8.2125000000000004</v>
      </c>
      <c r="N73" s="64">
        <f t="shared" si="119"/>
        <v>18.478124999999999</v>
      </c>
      <c r="O73" s="64">
        <f t="shared" si="120"/>
        <v>8.2125000000000004</v>
      </c>
      <c r="P73" s="64">
        <f t="shared" si="121"/>
        <v>1.6425000000000001</v>
      </c>
      <c r="Q73" s="64">
        <f t="shared" si="122"/>
        <v>0.27374999999999999</v>
      </c>
      <c r="R73" s="64">
        <f t="shared" si="123"/>
        <v>1.7793749999999999</v>
      </c>
      <c r="S73" s="64">
        <f t="shared" si="124"/>
        <v>3.01125</v>
      </c>
      <c r="T73" s="64">
        <f t="shared" si="125"/>
        <v>2.0531250000000001</v>
      </c>
      <c r="U73" s="64">
        <f t="shared" si="126"/>
        <v>0.41062500000000002</v>
      </c>
      <c r="V73" s="64">
        <f t="shared" si="127"/>
        <v>6.8437499999999998E-2</v>
      </c>
      <c r="W73" s="64">
        <f t="shared" si="128"/>
        <v>2.600625</v>
      </c>
      <c r="X73" s="64">
        <f t="shared" si="129"/>
        <v>4.38</v>
      </c>
      <c r="Y73" s="64">
        <f t="shared" si="130"/>
        <v>2.0531250000000001</v>
      </c>
      <c r="Z73" s="64">
        <f t="shared" si="131"/>
        <v>0</v>
      </c>
      <c r="AA73" s="64">
        <f t="shared" si="132"/>
        <v>0</v>
      </c>
      <c r="AB73" s="64">
        <f t="shared" si="133"/>
        <v>3.8325</v>
      </c>
      <c r="AC73" s="64">
        <f t="shared" si="134"/>
        <v>11.086874999999999</v>
      </c>
      <c r="AD73" s="64">
        <f t="shared" si="135"/>
        <v>4.1062500000000002</v>
      </c>
      <c r="AE73" s="64">
        <f t="shared" si="136"/>
        <v>1.2318750000000001</v>
      </c>
      <c r="AF73" s="64">
        <f t="shared" si="137"/>
        <v>0.20531250000000001</v>
      </c>
      <c r="AG73" s="65">
        <f t="shared" si="138"/>
        <v>78.073499999999996</v>
      </c>
      <c r="AH73" s="65">
        <f t="shared" si="139"/>
        <v>175.66537500000001</v>
      </c>
      <c r="AI73" s="65">
        <f t="shared" si="140"/>
        <v>78.073499999999996</v>
      </c>
      <c r="AJ73" s="65">
        <f t="shared" si="141"/>
        <v>15.614699999999999</v>
      </c>
      <c r="AK73" s="65">
        <f t="shared" si="142"/>
        <v>2.6024500000000002</v>
      </c>
      <c r="AL73" s="66">
        <v>0.9</v>
      </c>
      <c r="AM73" s="66">
        <v>0.75</v>
      </c>
      <c r="AN73" s="66">
        <v>0.9</v>
      </c>
      <c r="AO73" s="66">
        <v>0.1</v>
      </c>
      <c r="AP73" s="66">
        <v>0.1</v>
      </c>
      <c r="AQ73" s="65">
        <f t="shared" si="143"/>
        <v>71.867587499999999</v>
      </c>
      <c r="AR73" s="65">
        <f t="shared" si="144"/>
        <v>134.00746874999999</v>
      </c>
      <c r="AS73" s="65">
        <f t="shared" si="145"/>
        <v>72.1139625</v>
      </c>
      <c r="AT73" s="65">
        <f t="shared" si="146"/>
        <v>1.6025324999999999</v>
      </c>
      <c r="AU73" s="65">
        <f t="shared" si="147"/>
        <v>0.26708875000000004</v>
      </c>
      <c r="AV73" s="65">
        <f t="shared" si="148"/>
        <v>7.9852874999999983</v>
      </c>
      <c r="AW73" s="65">
        <f t="shared" si="149"/>
        <v>44.669156250000015</v>
      </c>
      <c r="AX73" s="65">
        <f t="shared" si="150"/>
        <v>8.0126624999999905</v>
      </c>
      <c r="AY73" s="65">
        <f t="shared" si="151"/>
        <v>14.422792499999998</v>
      </c>
      <c r="AZ73" s="65">
        <f t="shared" si="152"/>
        <v>2.40379875</v>
      </c>
      <c r="BA73" s="67">
        <f t="shared" si="153"/>
        <v>86.286000000000001</v>
      </c>
      <c r="BB73" s="67">
        <f t="shared" si="154"/>
        <v>194.14350000000002</v>
      </c>
      <c r="BC73" s="67">
        <f t="shared" si="155"/>
        <v>86.286000000000001</v>
      </c>
      <c r="BD73" s="68">
        <f t="shared" si="156"/>
        <v>17.257199999999997</v>
      </c>
      <c r="BE73" s="68">
        <f t="shared" si="157"/>
        <v>2.8762000000000003</v>
      </c>
      <c r="BF73" s="67">
        <f t="shared" si="158"/>
        <v>11.817787499999998</v>
      </c>
      <c r="BG73" s="67">
        <f t="shared" si="159"/>
        <v>55.756031250000014</v>
      </c>
      <c r="BH73" s="67">
        <f t="shared" si="160"/>
        <v>12.11891249999999</v>
      </c>
      <c r="BI73" s="68">
        <f t="shared" si="161"/>
        <v>15.654667499999999</v>
      </c>
      <c r="BJ73" s="68">
        <f t="shared" si="162"/>
        <v>2.6091112499999998</v>
      </c>
      <c r="BK73" s="67">
        <f t="shared" si="163"/>
        <v>74.468212499999993</v>
      </c>
      <c r="BL73" s="67">
        <f t="shared" si="164"/>
        <v>138.38746874999998</v>
      </c>
      <c r="BM73" s="67">
        <f t="shared" si="165"/>
        <v>74.167087499999994</v>
      </c>
      <c r="BN73" s="68">
        <f t="shared" si="166"/>
        <v>1.6025324999999999</v>
      </c>
      <c r="BO73" s="187">
        <f t="shared" si="167"/>
        <v>0.26708875000000004</v>
      </c>
      <c r="BP73" s="157"/>
      <c r="BQ73" s="148"/>
      <c r="BR73" s="148"/>
      <c r="BS73" s="148"/>
      <c r="BT73" s="148"/>
      <c r="BU73" s="150"/>
      <c r="BV73" s="151">
        <v>361800</v>
      </c>
      <c r="BW73" s="150">
        <f t="shared" si="227"/>
        <v>379890</v>
      </c>
      <c r="BX73" s="150">
        <f t="shared" si="228"/>
        <v>436493.61</v>
      </c>
      <c r="BY73" s="150">
        <f t="shared" si="229"/>
        <v>438239.57999999996</v>
      </c>
      <c r="BZ73" s="155">
        <f t="shared" si="230"/>
        <v>448319.08999999997</v>
      </c>
      <c r="CA73" s="179">
        <f t="shared" si="230"/>
        <v>458630.43</v>
      </c>
      <c r="CB73" s="203">
        <f t="shared" si="168"/>
        <v>43569.890850000003</v>
      </c>
      <c r="CC73" s="198">
        <f t="shared" si="231"/>
        <v>469178.93</v>
      </c>
      <c r="CD73" s="206">
        <f t="shared" si="169"/>
        <v>44571.998350000002</v>
      </c>
      <c r="CE73" s="150">
        <f t="shared" si="232"/>
        <v>479970.05</v>
      </c>
      <c r="CF73" s="206">
        <f t="shared" si="170"/>
        <v>45597.154750000002</v>
      </c>
      <c r="CG73" s="150">
        <f t="shared" si="233"/>
        <v>491009.36</v>
      </c>
      <c r="CH73" s="206">
        <f t="shared" si="171"/>
        <v>46645.889199999998</v>
      </c>
      <c r="CI73" s="150">
        <f t="shared" si="234"/>
        <v>502302.57999999996</v>
      </c>
      <c r="CJ73" s="206">
        <f t="shared" si="172"/>
        <v>47718.7451</v>
      </c>
      <c r="CK73" s="150">
        <f t="shared" si="235"/>
        <v>513855.54</v>
      </c>
      <c r="CL73" s="206">
        <f t="shared" si="173"/>
        <v>48816.276299999998</v>
      </c>
      <c r="CM73" s="150">
        <f t="shared" si="236"/>
        <v>525674.22</v>
      </c>
      <c r="CN73" s="150">
        <f t="shared" si="237"/>
        <v>537764.73</v>
      </c>
      <c r="CO73" s="157"/>
      <c r="CP73" s="148"/>
      <c r="CQ73" s="148"/>
      <c r="CR73" s="148"/>
      <c r="CS73" s="148"/>
      <c r="CT73" s="148"/>
      <c r="CU73" s="151">
        <v>186000</v>
      </c>
      <c r="CV73" s="150">
        <f t="shared" si="187"/>
        <v>195300</v>
      </c>
      <c r="CW73" s="150">
        <f t="shared" ref="CW73:DG73" si="249">CV73+ROUND(CV73*CW$6,2)</f>
        <v>224399.7</v>
      </c>
      <c r="CX73" s="150">
        <f t="shared" si="249"/>
        <v>225297.30000000002</v>
      </c>
      <c r="CY73" s="150">
        <f t="shared" si="249"/>
        <v>230479.14</v>
      </c>
      <c r="CZ73" s="155">
        <f t="shared" si="249"/>
        <v>236241.12000000002</v>
      </c>
      <c r="DA73" s="155">
        <f t="shared" si="249"/>
        <v>242147.15000000002</v>
      </c>
      <c r="DB73" s="155">
        <f t="shared" si="249"/>
        <v>248200.83000000002</v>
      </c>
      <c r="DC73" s="155">
        <f t="shared" si="249"/>
        <v>254405.85</v>
      </c>
      <c r="DD73" s="155">
        <f t="shared" si="249"/>
        <v>260766</v>
      </c>
      <c r="DE73" s="155">
        <f t="shared" si="249"/>
        <v>267285.15000000002</v>
      </c>
      <c r="DF73" s="155">
        <f t="shared" si="249"/>
        <v>273967.28000000003</v>
      </c>
      <c r="DG73" s="155">
        <f t="shared" si="249"/>
        <v>280816.46000000002</v>
      </c>
      <c r="DH73" s="236">
        <v>0</v>
      </c>
      <c r="DI73" s="243">
        <f t="shared" si="199"/>
        <v>458630.43</v>
      </c>
      <c r="DJ73" s="248">
        <f t="shared" si="175"/>
        <v>1223.01448</v>
      </c>
      <c r="DK73" s="382">
        <f>CA73/'1.piel'!M72</f>
        <v>1223.01448</v>
      </c>
      <c r="DL73">
        <f>DH73/'1.piel'!G72</f>
        <v>0</v>
      </c>
    </row>
    <row r="74" spans="2:116" x14ac:dyDescent="0.25">
      <c r="B74" s="52">
        <v>69</v>
      </c>
      <c r="C74" s="53" t="s">
        <v>105</v>
      </c>
      <c r="D74" s="36" t="s">
        <v>255</v>
      </c>
      <c r="E74" s="110">
        <v>2124</v>
      </c>
      <c r="F74" s="178">
        <v>2518</v>
      </c>
      <c r="G74" s="36">
        <v>77</v>
      </c>
      <c r="H74" s="99">
        <f t="shared" si="114"/>
        <v>2595</v>
      </c>
      <c r="I74" s="94">
        <f t="shared" si="240"/>
        <v>0.53018268467037333</v>
      </c>
      <c r="J74" s="89">
        <v>1335</v>
      </c>
      <c r="K74" s="98">
        <f t="shared" si="241"/>
        <v>0.46981731532962667</v>
      </c>
      <c r="L74" s="99">
        <f t="shared" si="117"/>
        <v>1183</v>
      </c>
      <c r="M74" s="174">
        <f t="shared" si="118"/>
        <v>25.907699999999998</v>
      </c>
      <c r="N74" s="64">
        <f t="shared" si="119"/>
        <v>58.292324999999998</v>
      </c>
      <c r="O74" s="64">
        <f t="shared" si="120"/>
        <v>25.907699999999998</v>
      </c>
      <c r="P74" s="64">
        <f t="shared" si="121"/>
        <v>5.18154</v>
      </c>
      <c r="Q74" s="64">
        <f t="shared" si="122"/>
        <v>0.86358999999999997</v>
      </c>
      <c r="R74" s="64">
        <f t="shared" si="123"/>
        <v>5.6133350000000002</v>
      </c>
      <c r="S74" s="64">
        <f t="shared" si="124"/>
        <v>9.4994899999999998</v>
      </c>
      <c r="T74" s="64">
        <f t="shared" si="125"/>
        <v>6.4769249999999996</v>
      </c>
      <c r="U74" s="64">
        <f t="shared" si="126"/>
        <v>1.295385</v>
      </c>
      <c r="V74" s="64">
        <f t="shared" si="127"/>
        <v>0.21589749999999999</v>
      </c>
      <c r="W74" s="64">
        <f t="shared" si="128"/>
        <v>8.2041050000000002</v>
      </c>
      <c r="X74" s="64">
        <f t="shared" si="129"/>
        <v>13.81744</v>
      </c>
      <c r="Y74" s="64">
        <f t="shared" si="130"/>
        <v>6.4769249999999996</v>
      </c>
      <c r="Z74" s="64">
        <f t="shared" si="131"/>
        <v>0</v>
      </c>
      <c r="AA74" s="64">
        <f t="shared" si="132"/>
        <v>0</v>
      </c>
      <c r="AB74" s="64">
        <f t="shared" si="133"/>
        <v>12.090260000000001</v>
      </c>
      <c r="AC74" s="64">
        <f t="shared" si="134"/>
        <v>34.975394999999999</v>
      </c>
      <c r="AD74" s="64">
        <f t="shared" si="135"/>
        <v>12.953849999999999</v>
      </c>
      <c r="AE74" s="64">
        <f t="shared" si="136"/>
        <v>3.886155</v>
      </c>
      <c r="AF74" s="64">
        <f t="shared" si="137"/>
        <v>0.6476925</v>
      </c>
      <c r="AG74" s="65">
        <f t="shared" si="138"/>
        <v>30.922799999999999</v>
      </c>
      <c r="AH74" s="65">
        <f t="shared" si="139"/>
        <v>69.576300000000003</v>
      </c>
      <c r="AI74" s="65">
        <f t="shared" si="140"/>
        <v>30.922799999999999</v>
      </c>
      <c r="AJ74" s="65">
        <f t="shared" si="141"/>
        <v>6.1845600000000003</v>
      </c>
      <c r="AK74" s="65">
        <f t="shared" si="142"/>
        <v>1.0307599999999999</v>
      </c>
      <c r="AL74" s="66">
        <v>0.9</v>
      </c>
      <c r="AM74" s="66">
        <v>0.75</v>
      </c>
      <c r="AN74" s="66">
        <v>0.9</v>
      </c>
      <c r="AO74" s="66">
        <v>0.1</v>
      </c>
      <c r="AP74" s="66">
        <v>0.1</v>
      </c>
      <c r="AQ74" s="65">
        <f t="shared" si="143"/>
        <v>32.882521500000003</v>
      </c>
      <c r="AR74" s="65">
        <f t="shared" si="144"/>
        <v>59.306842500000002</v>
      </c>
      <c r="AS74" s="65">
        <f t="shared" si="145"/>
        <v>33.659752499999996</v>
      </c>
      <c r="AT74" s="65">
        <f t="shared" si="146"/>
        <v>0.74799450000000012</v>
      </c>
      <c r="AU74" s="65">
        <f t="shared" si="147"/>
        <v>0.12466575000000001</v>
      </c>
      <c r="AV74" s="65">
        <f t="shared" si="148"/>
        <v>3.6536134999999987</v>
      </c>
      <c r="AW74" s="65">
        <f t="shared" si="149"/>
        <v>19.768947499999996</v>
      </c>
      <c r="AX74" s="65">
        <f t="shared" si="150"/>
        <v>3.7399725000000004</v>
      </c>
      <c r="AY74" s="65">
        <f t="shared" si="151"/>
        <v>6.7319505000000008</v>
      </c>
      <c r="AZ74" s="65">
        <f t="shared" si="152"/>
        <v>1.1219917500000001</v>
      </c>
      <c r="BA74" s="67">
        <f t="shared" si="153"/>
        <v>56.830500000000001</v>
      </c>
      <c r="BB74" s="67">
        <f t="shared" si="154"/>
        <v>127.86862500000001</v>
      </c>
      <c r="BC74" s="67">
        <f t="shared" si="155"/>
        <v>56.830500000000001</v>
      </c>
      <c r="BD74" s="68">
        <f t="shared" si="156"/>
        <v>11.366099999999999</v>
      </c>
      <c r="BE74" s="68">
        <f t="shared" si="157"/>
        <v>1.8943499999999998</v>
      </c>
      <c r="BF74" s="67">
        <f t="shared" si="158"/>
        <v>15.743873499999999</v>
      </c>
      <c r="BG74" s="67">
        <f t="shared" si="159"/>
        <v>54.744342499999995</v>
      </c>
      <c r="BH74" s="67">
        <f t="shared" si="160"/>
        <v>16.6938225</v>
      </c>
      <c r="BI74" s="68">
        <f t="shared" si="161"/>
        <v>10.6181055</v>
      </c>
      <c r="BJ74" s="68">
        <f t="shared" si="162"/>
        <v>1.7696842500000001</v>
      </c>
      <c r="BK74" s="67">
        <f t="shared" si="163"/>
        <v>41.086626500000001</v>
      </c>
      <c r="BL74" s="67">
        <f t="shared" si="164"/>
        <v>73.124282500000007</v>
      </c>
      <c r="BM74" s="67">
        <f t="shared" si="165"/>
        <v>40.136677499999998</v>
      </c>
      <c r="BN74" s="68">
        <f t="shared" si="166"/>
        <v>0.74799450000000012</v>
      </c>
      <c r="BO74" s="187">
        <f t="shared" si="167"/>
        <v>0.12466575000000001</v>
      </c>
      <c r="BP74" s="157"/>
      <c r="BQ74" s="148"/>
      <c r="BR74" s="148"/>
      <c r="BS74" s="150"/>
      <c r="BT74" s="148"/>
      <c r="BU74" s="148"/>
      <c r="BV74" s="151">
        <v>1301163</v>
      </c>
      <c r="BW74" s="150">
        <f t="shared" si="227"/>
        <v>1366221.15</v>
      </c>
      <c r="BX74" s="150">
        <f t="shared" si="228"/>
        <v>1569788.0999999999</v>
      </c>
      <c r="BY74" s="150">
        <f t="shared" si="229"/>
        <v>1576067.2499999998</v>
      </c>
      <c r="BZ74" s="155">
        <f t="shared" si="230"/>
        <v>1612316.7999999998</v>
      </c>
      <c r="CA74" s="179">
        <f t="shared" si="230"/>
        <v>1649400.0899999999</v>
      </c>
      <c r="CB74" s="203">
        <f t="shared" si="168"/>
        <v>156693.00855</v>
      </c>
      <c r="CC74" s="198">
        <f t="shared" si="231"/>
        <v>1687336.2899999998</v>
      </c>
      <c r="CD74" s="206">
        <f t="shared" si="169"/>
        <v>160296.94754999998</v>
      </c>
      <c r="CE74" s="150">
        <f t="shared" si="232"/>
        <v>1726145.0199999998</v>
      </c>
      <c r="CF74" s="206">
        <f t="shared" si="170"/>
        <v>163983.77689999997</v>
      </c>
      <c r="CG74" s="150">
        <f t="shared" si="233"/>
        <v>1765846.3599999999</v>
      </c>
      <c r="CH74" s="206">
        <f t="shared" si="171"/>
        <v>167755.40419999999</v>
      </c>
      <c r="CI74" s="150">
        <f t="shared" si="234"/>
        <v>1806460.8299999998</v>
      </c>
      <c r="CJ74" s="206">
        <f t="shared" si="172"/>
        <v>171613.77884999997</v>
      </c>
      <c r="CK74" s="150">
        <f t="shared" si="235"/>
        <v>1848009.43</v>
      </c>
      <c r="CL74" s="206">
        <f t="shared" si="173"/>
        <v>175560.89585</v>
      </c>
      <c r="CM74" s="150">
        <f t="shared" si="236"/>
        <v>1890513.65</v>
      </c>
      <c r="CN74" s="150">
        <f t="shared" si="237"/>
        <v>1933995.46</v>
      </c>
      <c r="CO74" s="157"/>
      <c r="CP74" s="148"/>
      <c r="CQ74" s="148"/>
      <c r="CR74" s="148"/>
      <c r="CS74" s="148"/>
      <c r="CT74" s="148"/>
      <c r="CU74" s="151">
        <v>553173</v>
      </c>
      <c r="CV74" s="150">
        <f t="shared" si="187"/>
        <v>580831.65</v>
      </c>
      <c r="CW74" s="150">
        <f t="shared" ref="CW74:DG74" si="250">CV74+ROUND(CV74*CW$6,2)</f>
        <v>667375.57000000007</v>
      </c>
      <c r="CX74" s="150">
        <f t="shared" si="250"/>
        <v>670045.07000000007</v>
      </c>
      <c r="CY74" s="150">
        <f t="shared" si="250"/>
        <v>685456.1100000001</v>
      </c>
      <c r="CZ74" s="155">
        <f t="shared" si="250"/>
        <v>702592.51000000013</v>
      </c>
      <c r="DA74" s="155">
        <f t="shared" si="250"/>
        <v>720157.32000000018</v>
      </c>
      <c r="DB74" s="155">
        <f t="shared" si="250"/>
        <v>738161.25000000023</v>
      </c>
      <c r="DC74" s="155">
        <f t="shared" si="250"/>
        <v>756615.28000000026</v>
      </c>
      <c r="DD74" s="155">
        <f t="shared" si="250"/>
        <v>775530.66000000027</v>
      </c>
      <c r="DE74" s="155">
        <f t="shared" si="250"/>
        <v>794918.93000000028</v>
      </c>
      <c r="DF74" s="155">
        <f t="shared" si="250"/>
        <v>814791.90000000026</v>
      </c>
      <c r="DG74" s="155">
        <f t="shared" si="250"/>
        <v>835161.7000000003</v>
      </c>
      <c r="DH74" s="236">
        <v>0</v>
      </c>
      <c r="DI74" s="243">
        <f t="shared" si="199"/>
        <v>1649400.0899999999</v>
      </c>
      <c r="DJ74" s="248">
        <f t="shared" si="175"/>
        <v>1394.2519780219779</v>
      </c>
      <c r="DK74" s="382">
        <f>CA74/'1.piel'!M73</f>
        <v>1394.2519780219779</v>
      </c>
      <c r="DL74">
        <f>DH74/'1.piel'!G73</f>
        <v>0</v>
      </c>
    </row>
    <row r="75" spans="2:116" x14ac:dyDescent="0.25">
      <c r="B75" s="52">
        <v>72</v>
      </c>
      <c r="C75" s="53" t="s">
        <v>112</v>
      </c>
      <c r="D75" s="36" t="s">
        <v>255</v>
      </c>
      <c r="E75" s="110">
        <v>2059</v>
      </c>
      <c r="F75" s="178">
        <v>2166</v>
      </c>
      <c r="G75" s="36">
        <v>0</v>
      </c>
      <c r="H75" s="99">
        <f t="shared" si="114"/>
        <v>2166</v>
      </c>
      <c r="I75" s="94">
        <f t="shared" si="240"/>
        <v>1</v>
      </c>
      <c r="J75" s="89">
        <v>2166</v>
      </c>
      <c r="K75" s="98">
        <f t="shared" si="241"/>
        <v>0</v>
      </c>
      <c r="L75" s="99">
        <f t="shared" si="117"/>
        <v>0</v>
      </c>
      <c r="M75" s="174">
        <f t="shared" si="118"/>
        <v>0</v>
      </c>
      <c r="N75" s="64">
        <f t="shared" si="119"/>
        <v>0</v>
      </c>
      <c r="O75" s="64">
        <f t="shared" si="120"/>
        <v>0</v>
      </c>
      <c r="P75" s="64">
        <f t="shared" si="121"/>
        <v>0</v>
      </c>
      <c r="Q75" s="64">
        <f t="shared" si="122"/>
        <v>0</v>
      </c>
      <c r="R75" s="64">
        <f t="shared" si="123"/>
        <v>0</v>
      </c>
      <c r="S75" s="64">
        <f t="shared" si="124"/>
        <v>0</v>
      </c>
      <c r="T75" s="64">
        <f t="shared" si="125"/>
        <v>0</v>
      </c>
      <c r="U75" s="64">
        <f t="shared" si="126"/>
        <v>0</v>
      </c>
      <c r="V75" s="64">
        <f t="shared" si="127"/>
        <v>0</v>
      </c>
      <c r="W75" s="64">
        <f t="shared" si="128"/>
        <v>0</v>
      </c>
      <c r="X75" s="64">
        <f t="shared" si="129"/>
        <v>0</v>
      </c>
      <c r="Y75" s="64">
        <f t="shared" si="130"/>
        <v>0</v>
      </c>
      <c r="Z75" s="64">
        <f t="shared" si="131"/>
        <v>0</v>
      </c>
      <c r="AA75" s="64">
        <f t="shared" si="132"/>
        <v>0</v>
      </c>
      <c r="AB75" s="64">
        <f t="shared" si="133"/>
        <v>0</v>
      </c>
      <c r="AC75" s="64">
        <f t="shared" si="134"/>
        <v>0</v>
      </c>
      <c r="AD75" s="64">
        <f t="shared" si="135"/>
        <v>0</v>
      </c>
      <c r="AE75" s="64">
        <f t="shared" si="136"/>
        <v>0</v>
      </c>
      <c r="AF75" s="64">
        <f t="shared" si="137"/>
        <v>0</v>
      </c>
      <c r="AG75" s="65">
        <f t="shared" si="138"/>
        <v>47.435400000000001</v>
      </c>
      <c r="AH75" s="65">
        <f t="shared" si="139"/>
        <v>106.72965000000001</v>
      </c>
      <c r="AI75" s="65">
        <f t="shared" si="140"/>
        <v>47.435400000000001</v>
      </c>
      <c r="AJ75" s="65">
        <f t="shared" si="141"/>
        <v>9.4870800000000006</v>
      </c>
      <c r="AK75" s="65">
        <f t="shared" si="142"/>
        <v>1.58118</v>
      </c>
      <c r="AL75" s="66">
        <v>0.9</v>
      </c>
      <c r="AM75" s="66">
        <v>0.75</v>
      </c>
      <c r="AN75" s="66">
        <v>0.9</v>
      </c>
      <c r="AO75" s="66">
        <v>0.1</v>
      </c>
      <c r="AP75" s="66">
        <v>0.1</v>
      </c>
      <c r="AQ75" s="65">
        <f t="shared" si="143"/>
        <v>42.691860000000005</v>
      </c>
      <c r="AR75" s="65">
        <f t="shared" si="144"/>
        <v>80.047237500000008</v>
      </c>
      <c r="AS75" s="65">
        <f t="shared" si="145"/>
        <v>42.691860000000005</v>
      </c>
      <c r="AT75" s="65">
        <f t="shared" si="146"/>
        <v>0.94870800000000011</v>
      </c>
      <c r="AU75" s="65">
        <f t="shared" si="147"/>
        <v>0.15811800000000001</v>
      </c>
      <c r="AV75" s="65">
        <f t="shared" si="148"/>
        <v>4.7435399999999959</v>
      </c>
      <c r="AW75" s="65">
        <f t="shared" si="149"/>
        <v>26.682412499999998</v>
      </c>
      <c r="AX75" s="65">
        <f t="shared" si="150"/>
        <v>4.7435399999999959</v>
      </c>
      <c r="AY75" s="65">
        <f t="shared" si="151"/>
        <v>8.5383720000000007</v>
      </c>
      <c r="AZ75" s="65">
        <f t="shared" si="152"/>
        <v>1.423062</v>
      </c>
      <c r="BA75" s="67">
        <f t="shared" si="153"/>
        <v>47.435400000000001</v>
      </c>
      <c r="BB75" s="67">
        <f t="shared" si="154"/>
        <v>106.72965000000001</v>
      </c>
      <c r="BC75" s="67">
        <f t="shared" si="155"/>
        <v>47.435400000000001</v>
      </c>
      <c r="BD75" s="68">
        <f t="shared" si="156"/>
        <v>9.4870800000000006</v>
      </c>
      <c r="BE75" s="68">
        <f t="shared" si="157"/>
        <v>1.58118</v>
      </c>
      <c r="BF75" s="67">
        <f t="shared" si="158"/>
        <v>4.7435399999999959</v>
      </c>
      <c r="BG75" s="67">
        <f t="shared" si="159"/>
        <v>26.682412499999998</v>
      </c>
      <c r="BH75" s="67">
        <f t="shared" si="160"/>
        <v>4.7435399999999959</v>
      </c>
      <c r="BI75" s="68">
        <f t="shared" si="161"/>
        <v>8.5383720000000007</v>
      </c>
      <c r="BJ75" s="68">
        <f t="shared" si="162"/>
        <v>1.423062</v>
      </c>
      <c r="BK75" s="67">
        <f t="shared" si="163"/>
        <v>42.691860000000005</v>
      </c>
      <c r="BL75" s="67">
        <f t="shared" si="164"/>
        <v>80.047237500000008</v>
      </c>
      <c r="BM75" s="67">
        <f t="shared" si="165"/>
        <v>42.691860000000005</v>
      </c>
      <c r="BN75" s="68">
        <f t="shared" si="166"/>
        <v>0.94870800000000011</v>
      </c>
      <c r="BO75" s="187">
        <f t="shared" si="167"/>
        <v>0.15811800000000001</v>
      </c>
      <c r="BP75" s="157"/>
      <c r="BQ75" s="148"/>
      <c r="BR75" s="148"/>
      <c r="BS75" s="148"/>
      <c r="BT75" s="148"/>
      <c r="BU75" s="150"/>
      <c r="BV75" s="151">
        <v>0</v>
      </c>
      <c r="BW75" s="150">
        <f t="shared" si="227"/>
        <v>0</v>
      </c>
      <c r="BX75" s="150">
        <f t="shared" si="228"/>
        <v>0</v>
      </c>
      <c r="BY75" s="150">
        <f t="shared" si="229"/>
        <v>0</v>
      </c>
      <c r="BZ75" s="155">
        <f t="shared" si="230"/>
        <v>0</v>
      </c>
      <c r="CA75" s="179">
        <f t="shared" si="230"/>
        <v>0</v>
      </c>
      <c r="CB75" s="203">
        <f t="shared" si="168"/>
        <v>0</v>
      </c>
      <c r="CC75" s="198">
        <f t="shared" si="231"/>
        <v>0</v>
      </c>
      <c r="CD75" s="206">
        <f t="shared" si="169"/>
        <v>0</v>
      </c>
      <c r="CE75" s="150">
        <f t="shared" si="232"/>
        <v>0</v>
      </c>
      <c r="CF75" s="206">
        <f t="shared" si="170"/>
        <v>0</v>
      </c>
      <c r="CG75" s="150">
        <f t="shared" si="233"/>
        <v>0</v>
      </c>
      <c r="CH75" s="206">
        <f t="shared" si="171"/>
        <v>0</v>
      </c>
      <c r="CI75" s="150">
        <f t="shared" si="234"/>
        <v>0</v>
      </c>
      <c r="CJ75" s="206">
        <f t="shared" si="172"/>
        <v>0</v>
      </c>
      <c r="CK75" s="150">
        <f t="shared" si="235"/>
        <v>0</v>
      </c>
      <c r="CL75" s="206">
        <f t="shared" si="173"/>
        <v>0</v>
      </c>
      <c r="CM75" s="150">
        <f t="shared" si="236"/>
        <v>0</v>
      </c>
      <c r="CN75" s="150">
        <f t="shared" si="237"/>
        <v>0</v>
      </c>
      <c r="CO75" s="157"/>
      <c r="CP75" s="148"/>
      <c r="CQ75" s="151">
        <v>0</v>
      </c>
      <c r="CR75" s="150">
        <f>CQ75+ROUND(CQ75*CR$6,2)</f>
        <v>0</v>
      </c>
      <c r="CS75" s="150">
        <f>CR75+ROUND(CR75*CS$6,2)</f>
        <v>0</v>
      </c>
      <c r="CT75" s="150">
        <f>CS75+ROUND(CS75*CT$6,2)</f>
        <v>0</v>
      </c>
      <c r="CU75" s="150">
        <f>CT75+ROUND(CT75*CU$6,2)</f>
        <v>0</v>
      </c>
      <c r="CV75" s="150">
        <f t="shared" si="187"/>
        <v>0</v>
      </c>
      <c r="CW75" s="150">
        <f t="shared" ref="CW75:DG75" si="251">CV75+ROUND(CV75*CW$6,2)</f>
        <v>0</v>
      </c>
      <c r="CX75" s="150">
        <f t="shared" si="251"/>
        <v>0</v>
      </c>
      <c r="CY75" s="150">
        <f t="shared" si="251"/>
        <v>0</v>
      </c>
      <c r="CZ75" s="155">
        <f t="shared" si="251"/>
        <v>0</v>
      </c>
      <c r="DA75" s="155">
        <f t="shared" si="251"/>
        <v>0</v>
      </c>
      <c r="DB75" s="155">
        <f t="shared" si="251"/>
        <v>0</v>
      </c>
      <c r="DC75" s="155">
        <f t="shared" si="251"/>
        <v>0</v>
      </c>
      <c r="DD75" s="155">
        <f t="shared" si="251"/>
        <v>0</v>
      </c>
      <c r="DE75" s="155">
        <f t="shared" si="251"/>
        <v>0</v>
      </c>
      <c r="DF75" s="155">
        <f t="shared" si="251"/>
        <v>0</v>
      </c>
      <c r="DG75" s="155">
        <f t="shared" si="251"/>
        <v>0</v>
      </c>
      <c r="DH75" s="236">
        <v>0</v>
      </c>
      <c r="DI75" s="243">
        <f t="shared" si="199"/>
        <v>0</v>
      </c>
      <c r="DJ75" s="248">
        <f t="shared" si="175"/>
        <v>0</v>
      </c>
      <c r="DK75" s="382">
        <v>0</v>
      </c>
      <c r="DL75">
        <f>DH75/'1.piel'!G74</f>
        <v>0</v>
      </c>
    </row>
    <row r="76" spans="2:116" x14ac:dyDescent="0.25">
      <c r="B76" s="52">
        <v>80</v>
      </c>
      <c r="C76" s="53" t="s">
        <v>118</v>
      </c>
      <c r="D76" s="40" t="s">
        <v>255</v>
      </c>
      <c r="E76" s="110">
        <v>1706</v>
      </c>
      <c r="F76" s="178">
        <v>1902</v>
      </c>
      <c r="G76" s="36">
        <v>102</v>
      </c>
      <c r="H76" s="99">
        <f t="shared" ref="H76:H104" si="252">F76+G76</f>
        <v>2004</v>
      </c>
      <c r="I76" s="94">
        <f t="shared" si="240"/>
        <v>0.61882229232386965</v>
      </c>
      <c r="J76" s="89">
        <v>1177</v>
      </c>
      <c r="K76" s="98">
        <f t="shared" si="241"/>
        <v>0.38117770767613041</v>
      </c>
      <c r="L76" s="99">
        <f t="shared" ref="L76:L104" si="253">F76-J76</f>
        <v>725</v>
      </c>
      <c r="M76" s="174">
        <f t="shared" ref="M76:M104" si="254">L76*60*365/1000000</f>
        <v>15.8775</v>
      </c>
      <c r="N76" s="64">
        <f t="shared" ref="N76:N104" si="255">L76*135*365/1000000</f>
        <v>35.724375000000002</v>
      </c>
      <c r="O76" s="64">
        <f t="shared" ref="O76:O104" si="256">L76*60*365/1000000</f>
        <v>15.8775</v>
      </c>
      <c r="P76" s="64">
        <f t="shared" ref="P76:P104" si="257">L76*12*365/1000000</f>
        <v>3.1755</v>
      </c>
      <c r="Q76" s="64">
        <f t="shared" ref="Q76:Q104" si="258">L76*2*365/1000000</f>
        <v>0.52925</v>
      </c>
      <c r="R76" s="64">
        <f t="shared" ref="R76:R104" si="259">L76*13*365/1000000</f>
        <v>3.4401250000000001</v>
      </c>
      <c r="S76" s="64">
        <f t="shared" ref="S76:S104" si="260">L76*22*365/1000000</f>
        <v>5.8217499999999998</v>
      </c>
      <c r="T76" s="64">
        <f t="shared" ref="T76:T104" si="261">L76*15*365/1000000</f>
        <v>3.9693749999999999</v>
      </c>
      <c r="U76" s="64">
        <f t="shared" ref="U76:U104" si="262">L76*3*365/1000000</f>
        <v>0.793875</v>
      </c>
      <c r="V76" s="64">
        <f t="shared" ref="V76:V104" si="263">L76*0.5*365/1000000</f>
        <v>0.1323125</v>
      </c>
      <c r="W76" s="64">
        <f t="shared" ref="W76:W104" si="264">L76*19*365/1000000</f>
        <v>5.0278749999999999</v>
      </c>
      <c r="X76" s="64">
        <f t="shared" ref="X76:X104" si="265">L76*32*365/1000000</f>
        <v>8.468</v>
      </c>
      <c r="Y76" s="64">
        <f t="shared" ref="Y76:Y104" si="266">L76*15*365/1000000</f>
        <v>3.9693749999999999</v>
      </c>
      <c r="Z76" s="64">
        <f t="shared" ref="Z76:Z104" si="267">L76*0*365/1000000</f>
        <v>0</v>
      </c>
      <c r="AA76" s="64">
        <f t="shared" ref="AA76:AA104" si="268">L76*0*365/1000000</f>
        <v>0</v>
      </c>
      <c r="AB76" s="64">
        <f t="shared" ref="AB76:AB104" si="269">L76*28*365/1000000</f>
        <v>7.4095000000000004</v>
      </c>
      <c r="AC76" s="64">
        <f t="shared" ref="AC76:AC104" si="270">L76*81*365/1000000</f>
        <v>21.434625</v>
      </c>
      <c r="AD76" s="64">
        <f t="shared" ref="AD76:AD104" si="271">L76*30*365/1000000</f>
        <v>7.9387499999999998</v>
      </c>
      <c r="AE76" s="64">
        <f t="shared" ref="AE76:AE104" si="272">L76*9*365/1000000</f>
        <v>2.3816250000000001</v>
      </c>
      <c r="AF76" s="64">
        <f t="shared" ref="AF76:AF104" si="273">L76*1.5*365/1000000</f>
        <v>0.3969375</v>
      </c>
      <c r="AG76" s="65">
        <f t="shared" ref="AG76:AG104" si="274">(J76+G76)*60*365/1000000</f>
        <v>28.010100000000001</v>
      </c>
      <c r="AH76" s="65">
        <f t="shared" ref="AH76:AH104" si="275">($J76+$G76)*135*365/1000000</f>
        <v>63.022725000000001</v>
      </c>
      <c r="AI76" s="65">
        <f t="shared" ref="AI76:AI104" si="276">($J76+$G76)*60*365/1000000</f>
        <v>28.010100000000001</v>
      </c>
      <c r="AJ76" s="65">
        <f t="shared" ref="AJ76:AJ104" si="277">($J76+$G76)*12*365/1000000</f>
        <v>5.6020200000000004</v>
      </c>
      <c r="AK76" s="65">
        <f t="shared" ref="AK76:AK104" si="278">($J76+$G76)*2*365/1000000</f>
        <v>0.93367</v>
      </c>
      <c r="AL76" s="66">
        <v>0.9</v>
      </c>
      <c r="AM76" s="66">
        <v>0.75</v>
      </c>
      <c r="AN76" s="66">
        <v>0.9</v>
      </c>
      <c r="AO76" s="66">
        <v>0.1</v>
      </c>
      <c r="AP76" s="66">
        <v>0.1</v>
      </c>
      <c r="AQ76" s="65">
        <f t="shared" ref="AQ76:AQ104" si="279">(R76+AG76)*AL76</f>
        <v>28.305202500000004</v>
      </c>
      <c r="AR76" s="65">
        <f t="shared" ref="AR76:AR104" si="280">(S76+AH76)*AM76</f>
        <v>51.633356250000006</v>
      </c>
      <c r="AS76" s="65">
        <f t="shared" ref="AS76:AS104" si="281">(T76+AI76)*AN76</f>
        <v>28.781527500000003</v>
      </c>
      <c r="AT76" s="65">
        <f t="shared" ref="AT76:AT104" si="282">(U76+AJ76)*AO76</f>
        <v>0.63958950000000003</v>
      </c>
      <c r="AU76" s="65">
        <f t="shared" ref="AU76:AU104" si="283">(V76+AK76)*AP76</f>
        <v>0.10659825000000001</v>
      </c>
      <c r="AV76" s="65">
        <f t="shared" ref="AV76:AV104" si="284">R76+AG76-AQ76</f>
        <v>3.1450224999999996</v>
      </c>
      <c r="AW76" s="65">
        <f t="shared" ref="AW76:AW104" si="285">S76+AH76-AR76</f>
        <v>17.211118749999997</v>
      </c>
      <c r="AX76" s="65">
        <f t="shared" ref="AX76:AX104" si="286">T76+AI76-AS76</f>
        <v>3.1979474999999979</v>
      </c>
      <c r="AY76" s="65">
        <f t="shared" ref="AY76:AY104" si="287">U76+AJ76-AT76</f>
        <v>5.7563054999999999</v>
      </c>
      <c r="AZ76" s="65">
        <f t="shared" ref="AZ76:AZ104" si="288">V76+AK76-AU76</f>
        <v>0.95938425000000005</v>
      </c>
      <c r="BA76" s="67">
        <f t="shared" ref="BA76:BA104" si="289">M76+AG76</f>
        <v>43.887599999999999</v>
      </c>
      <c r="BB76" s="67">
        <f t="shared" ref="BB76:BB104" si="290">N76+AH76</f>
        <v>98.747100000000003</v>
      </c>
      <c r="BC76" s="67">
        <f t="shared" ref="BC76:BC104" si="291">O76+AI76</f>
        <v>43.887599999999999</v>
      </c>
      <c r="BD76" s="68">
        <f t="shared" ref="BD76:BD104" si="292">P76+AJ76</f>
        <v>8.7775200000000009</v>
      </c>
      <c r="BE76" s="68">
        <f t="shared" ref="BE76:BE104" si="293">Q76+AK76</f>
        <v>1.46292</v>
      </c>
      <c r="BF76" s="67">
        <f t="shared" ref="BF76:BF104" si="294">AB76+AV76</f>
        <v>10.554522500000001</v>
      </c>
      <c r="BG76" s="67">
        <f t="shared" ref="BG76:BG104" si="295">AC76+AW76</f>
        <v>38.645743749999994</v>
      </c>
      <c r="BH76" s="67">
        <f t="shared" ref="BH76:BH104" si="296">AD76+AX76</f>
        <v>11.136697499999997</v>
      </c>
      <c r="BI76" s="68">
        <f t="shared" ref="BI76:BI104" si="297">AE76+AY76</f>
        <v>8.1379304999999995</v>
      </c>
      <c r="BJ76" s="68">
        <f t="shared" ref="BJ76:BJ104" si="298">AF76+AZ76</f>
        <v>1.35632175</v>
      </c>
      <c r="BK76" s="67">
        <f t="shared" ref="BK76:BK104" si="299">W76+AQ76</f>
        <v>33.333077500000002</v>
      </c>
      <c r="BL76" s="67">
        <f t="shared" ref="BL76:BL104" si="300">X76+AR76</f>
        <v>60.101356250000009</v>
      </c>
      <c r="BM76" s="67">
        <f t="shared" ref="BM76:BM104" si="301">Y76+AS76</f>
        <v>32.750902500000002</v>
      </c>
      <c r="BN76" s="68">
        <f t="shared" ref="BN76:BN104" si="302">Z76+AT76</f>
        <v>0.63958950000000003</v>
      </c>
      <c r="BO76" s="187">
        <f t="shared" ref="BO76:BO104" si="303">AA76+AU76</f>
        <v>0.10659825000000001</v>
      </c>
      <c r="BP76" s="157"/>
      <c r="BQ76" s="148"/>
      <c r="BR76" s="148"/>
      <c r="BS76" s="148"/>
      <c r="BT76" s="148"/>
      <c r="BU76" s="148"/>
      <c r="BV76" s="151">
        <v>281006</v>
      </c>
      <c r="BW76" s="150">
        <f t="shared" si="227"/>
        <v>295056.3</v>
      </c>
      <c r="BX76" s="150">
        <f t="shared" si="228"/>
        <v>339019.69</v>
      </c>
      <c r="BY76" s="150">
        <f t="shared" si="229"/>
        <v>340375.77</v>
      </c>
      <c r="BZ76" s="155">
        <f t="shared" si="230"/>
        <v>348204.41000000003</v>
      </c>
      <c r="CA76" s="179">
        <f t="shared" si="230"/>
        <v>356213.11000000004</v>
      </c>
      <c r="CB76" s="203">
        <f t="shared" ref="CB76:CB104" si="304">CA76*9.5%</f>
        <v>33840.245450000002</v>
      </c>
      <c r="CC76" s="198">
        <f t="shared" si="231"/>
        <v>364406.01000000007</v>
      </c>
      <c r="CD76" s="206">
        <f t="shared" ref="CD76:CD104" si="305">CC76*9.5%</f>
        <v>34618.570950000008</v>
      </c>
      <c r="CE76" s="150">
        <f t="shared" si="232"/>
        <v>372787.35000000009</v>
      </c>
      <c r="CF76" s="206">
        <f t="shared" ref="CF76:CF104" si="306">CE76*9.5%</f>
        <v>35414.798250000007</v>
      </c>
      <c r="CG76" s="150">
        <f t="shared" si="233"/>
        <v>381361.46000000008</v>
      </c>
      <c r="CH76" s="206">
        <f t="shared" ref="CH76:CH104" si="307">CG76*9.5%</f>
        <v>36229.338700000008</v>
      </c>
      <c r="CI76" s="150">
        <f t="shared" si="234"/>
        <v>390132.77000000008</v>
      </c>
      <c r="CJ76" s="206">
        <f t="shared" ref="CJ76:CJ104" si="308">CI76*9.5%</f>
        <v>37062.613150000005</v>
      </c>
      <c r="CK76" s="150">
        <f t="shared" si="235"/>
        <v>399105.82000000007</v>
      </c>
      <c r="CL76" s="206">
        <f t="shared" ref="CL76:CL104" si="309">CK76*9.5%</f>
        <v>37915.05290000001</v>
      </c>
      <c r="CM76" s="150">
        <f t="shared" si="236"/>
        <v>408285.25000000006</v>
      </c>
      <c r="CN76" s="150">
        <f t="shared" si="237"/>
        <v>417675.81000000006</v>
      </c>
      <c r="CO76" s="157"/>
      <c r="CP76" s="148"/>
      <c r="CQ76" s="148"/>
      <c r="CR76" s="148"/>
      <c r="CS76" s="148"/>
      <c r="CT76" s="148"/>
      <c r="CU76" s="151">
        <v>80776</v>
      </c>
      <c r="CV76" s="150">
        <f t="shared" si="187"/>
        <v>84814.8</v>
      </c>
      <c r="CW76" s="150">
        <f t="shared" ref="CW76:DG76" si="310">CV76+ROUND(CV76*CW$6,2)</f>
        <v>97452.21</v>
      </c>
      <c r="CX76" s="150">
        <f t="shared" si="310"/>
        <v>97842.02</v>
      </c>
      <c r="CY76" s="150">
        <f t="shared" si="310"/>
        <v>100092.39</v>
      </c>
      <c r="CZ76" s="155">
        <f t="shared" si="310"/>
        <v>102594.7</v>
      </c>
      <c r="DA76" s="155">
        <f t="shared" si="310"/>
        <v>105159.56999999999</v>
      </c>
      <c r="DB76" s="155">
        <f t="shared" si="310"/>
        <v>107788.56</v>
      </c>
      <c r="DC76" s="155">
        <f t="shared" si="310"/>
        <v>110483.27</v>
      </c>
      <c r="DD76" s="155">
        <f t="shared" si="310"/>
        <v>113245.35</v>
      </c>
      <c r="DE76" s="155">
        <f t="shared" si="310"/>
        <v>116076.48000000001</v>
      </c>
      <c r="DF76" s="155">
        <f t="shared" si="310"/>
        <v>118978.39000000001</v>
      </c>
      <c r="DG76" s="155">
        <f t="shared" si="310"/>
        <v>121952.85000000002</v>
      </c>
      <c r="DH76" s="236">
        <v>0</v>
      </c>
      <c r="DI76" s="243">
        <f t="shared" ref="DI76:DI104" si="311">SUM(CA76,DH76)</f>
        <v>356213.11000000004</v>
      </c>
      <c r="DJ76" s="248">
        <f t="shared" ref="DJ76:DJ104" si="312">SUM(DK76:DL76)</f>
        <v>491.32842758620694</v>
      </c>
      <c r="DK76" s="382">
        <f>CA76/'1.piel'!M75</f>
        <v>491.32842758620694</v>
      </c>
      <c r="DL76">
        <f>DH76/'1.piel'!G75</f>
        <v>0</v>
      </c>
    </row>
    <row r="77" spans="2:116" s="3" customFormat="1" ht="15.75" x14ac:dyDescent="0.25">
      <c r="B77" s="515" t="s">
        <v>369</v>
      </c>
      <c r="C77" s="516"/>
      <c r="D77" s="516"/>
      <c r="E77" s="516"/>
      <c r="F77" s="516"/>
      <c r="G77" s="516"/>
      <c r="H77" s="516"/>
      <c r="I77" s="516"/>
      <c r="J77" s="516"/>
      <c r="K77" s="516"/>
      <c r="L77" s="517"/>
      <c r="M77" s="372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373"/>
      <c r="AM77" s="373"/>
      <c r="AN77" s="373"/>
      <c r="AO77" s="373"/>
      <c r="AP77" s="373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374"/>
      <c r="BB77" s="374"/>
      <c r="BC77" s="374"/>
      <c r="BD77" s="375"/>
      <c r="BE77" s="375"/>
      <c r="BF77" s="374"/>
      <c r="BG77" s="374"/>
      <c r="BH77" s="374"/>
      <c r="BI77" s="375"/>
      <c r="BJ77" s="375"/>
      <c r="BK77" s="374"/>
      <c r="BL77" s="374"/>
      <c r="BM77" s="374"/>
      <c r="BN77" s="375"/>
      <c r="BO77" s="376"/>
      <c r="BP77" s="377"/>
      <c r="BQ77" s="375"/>
      <c r="BR77" s="375"/>
      <c r="BS77" s="375"/>
      <c r="BT77" s="375"/>
      <c r="BU77" s="375"/>
      <c r="BV77" s="69"/>
      <c r="BW77" s="69"/>
      <c r="BX77" s="69"/>
      <c r="BY77" s="69"/>
      <c r="BZ77" s="104"/>
      <c r="CA77" s="383">
        <f>SUM(CA64:CA76)</f>
        <v>48661002.069999993</v>
      </c>
      <c r="CB77" s="383">
        <f t="shared" ref="CB77:CK77" si="313">SUM(CB64:CB76)</f>
        <v>4622795.1966500012</v>
      </c>
      <c r="CC77" s="383">
        <f t="shared" si="313"/>
        <v>49780205.120000012</v>
      </c>
      <c r="CD77" s="383">
        <f t="shared" si="313"/>
        <v>4729119.4864000008</v>
      </c>
      <c r="CE77" s="383">
        <f t="shared" si="313"/>
        <v>50925149.840000011</v>
      </c>
      <c r="CF77" s="383">
        <f t="shared" si="313"/>
        <v>4837889.2347999997</v>
      </c>
      <c r="CG77" s="383">
        <f t="shared" si="313"/>
        <v>52096428.300000004</v>
      </c>
      <c r="CH77" s="383">
        <f t="shared" si="313"/>
        <v>4949160.688500002</v>
      </c>
      <c r="CI77" s="383">
        <f t="shared" si="313"/>
        <v>53294646.150000013</v>
      </c>
      <c r="CJ77" s="383">
        <f t="shared" si="313"/>
        <v>5062991.3842500001</v>
      </c>
      <c r="CK77" s="383">
        <f t="shared" si="313"/>
        <v>54520423.010000005</v>
      </c>
      <c r="CL77" s="383">
        <f>SUM(CL64:CL76)</f>
        <v>5179440.1859499998</v>
      </c>
      <c r="CM77" s="383">
        <f t="shared" ref="CM77" si="314">SUM(CM64:CM76)</f>
        <v>55774392.740000002</v>
      </c>
      <c r="CN77" s="383">
        <f t="shared" ref="CN77" si="315">SUM(CN64:CN76)</f>
        <v>57057203.75999999</v>
      </c>
      <c r="CO77" s="377"/>
      <c r="CP77" s="375"/>
      <c r="CQ77" s="375"/>
      <c r="CR77" s="375"/>
      <c r="CS77" s="375"/>
      <c r="CT77" s="375"/>
      <c r="CU77" s="69"/>
      <c r="CV77" s="69"/>
      <c r="CW77" s="69"/>
      <c r="CX77" s="69"/>
      <c r="CY77" s="69"/>
      <c r="CZ77" s="384">
        <f>SUM(CZ64:CZ76)</f>
        <v>3815935.44</v>
      </c>
      <c r="DA77" s="384">
        <f t="shared" ref="DA77:DG77" si="316">SUM(DA64:DA76)</f>
        <v>3911333.84</v>
      </c>
      <c r="DB77" s="384">
        <f t="shared" si="316"/>
        <v>4009117.1799999992</v>
      </c>
      <c r="DC77" s="384">
        <f t="shared" si="316"/>
        <v>4109345.1100000003</v>
      </c>
      <c r="DD77" s="384">
        <f t="shared" si="316"/>
        <v>4212078.7299999995</v>
      </c>
      <c r="DE77" s="384">
        <f t="shared" si="316"/>
        <v>4317380.7</v>
      </c>
      <c r="DF77" s="384">
        <f t="shared" si="316"/>
        <v>4425315.22</v>
      </c>
      <c r="DG77" s="384">
        <f t="shared" si="316"/>
        <v>4535948.0999999996</v>
      </c>
      <c r="DH77" s="237"/>
      <c r="DI77" s="379"/>
      <c r="DJ77" s="380"/>
      <c r="DK77" s="382"/>
    </row>
    <row r="78" spans="2:116" s="3" customFormat="1" ht="21.75" thickBot="1" x14ac:dyDescent="0.4">
      <c r="B78" s="512" t="s">
        <v>372</v>
      </c>
      <c r="C78" s="513"/>
      <c r="D78" s="513"/>
      <c r="E78" s="513"/>
      <c r="F78" s="513"/>
      <c r="G78" s="513"/>
      <c r="H78" s="513"/>
      <c r="I78" s="513"/>
      <c r="J78" s="513"/>
      <c r="K78" s="513"/>
      <c r="L78" s="514"/>
      <c r="M78" s="372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373"/>
      <c r="AM78" s="373"/>
      <c r="AN78" s="373"/>
      <c r="AO78" s="373"/>
      <c r="AP78" s="373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374"/>
      <c r="BB78" s="374"/>
      <c r="BC78" s="374"/>
      <c r="BD78" s="375"/>
      <c r="BE78" s="375"/>
      <c r="BF78" s="374"/>
      <c r="BG78" s="374"/>
      <c r="BH78" s="374"/>
      <c r="BI78" s="375"/>
      <c r="BJ78" s="375"/>
      <c r="BK78" s="374"/>
      <c r="BL78" s="374"/>
      <c r="BM78" s="374"/>
      <c r="BN78" s="375"/>
      <c r="BO78" s="376"/>
      <c r="BP78" s="377"/>
      <c r="BQ78" s="375"/>
      <c r="BR78" s="375"/>
      <c r="BS78" s="375"/>
      <c r="BT78" s="375"/>
      <c r="BU78" s="375"/>
      <c r="BV78" s="69"/>
      <c r="BW78" s="69"/>
      <c r="BX78" s="69"/>
      <c r="BY78" s="69"/>
      <c r="BZ78" s="104"/>
      <c r="CA78" s="179"/>
      <c r="CB78" s="335"/>
      <c r="CC78" s="119"/>
      <c r="CD78" s="378"/>
      <c r="CE78" s="69"/>
      <c r="CF78" s="378"/>
      <c r="CG78" s="69"/>
      <c r="CH78" s="378"/>
      <c r="CI78" s="69"/>
      <c r="CJ78" s="378"/>
      <c r="CK78" s="69"/>
      <c r="CL78" s="378"/>
      <c r="CM78" s="69"/>
      <c r="CN78" s="69"/>
      <c r="CO78" s="377"/>
      <c r="CP78" s="375"/>
      <c r="CQ78" s="375"/>
      <c r="CR78" s="375"/>
      <c r="CS78" s="375"/>
      <c r="CT78" s="375"/>
      <c r="CU78" s="69"/>
      <c r="CV78" s="69"/>
      <c r="CW78" s="69"/>
      <c r="CX78" s="69"/>
      <c r="CY78" s="69"/>
      <c r="CZ78" s="104"/>
      <c r="DA78" s="104"/>
      <c r="DB78" s="104"/>
      <c r="DC78" s="104"/>
      <c r="DD78" s="104"/>
      <c r="DE78" s="104"/>
      <c r="DF78" s="104"/>
      <c r="DG78" s="104"/>
      <c r="DH78" s="237"/>
      <c r="DI78" s="379"/>
      <c r="DJ78" s="380"/>
      <c r="DK78" s="382"/>
    </row>
    <row r="79" spans="2:116" x14ac:dyDescent="0.25">
      <c r="B79" s="52">
        <v>1</v>
      </c>
      <c r="C79" s="53" t="s">
        <v>44</v>
      </c>
      <c r="D79" s="36" t="s">
        <v>244</v>
      </c>
      <c r="E79" s="110">
        <v>699203</v>
      </c>
      <c r="F79" s="178">
        <v>620000</v>
      </c>
      <c r="G79" s="63">
        <f>839914-697175</f>
        <v>142739</v>
      </c>
      <c r="H79" s="99">
        <f t="shared" si="252"/>
        <v>762739</v>
      </c>
      <c r="I79" s="94">
        <f t="shared" si="240"/>
        <v>0.97799999999999998</v>
      </c>
      <c r="J79" s="89">
        <f>F79*97.8%</f>
        <v>606360</v>
      </c>
      <c r="K79" s="98">
        <f t="shared" si="241"/>
        <v>2.1999999999999999E-2</v>
      </c>
      <c r="L79" s="99">
        <f t="shared" si="253"/>
        <v>13640</v>
      </c>
      <c r="M79" s="174">
        <f t="shared" si="254"/>
        <v>298.71600000000001</v>
      </c>
      <c r="N79" s="64">
        <f t="shared" si="255"/>
        <v>672.11099999999999</v>
      </c>
      <c r="O79" s="64">
        <f t="shared" si="256"/>
        <v>298.71600000000001</v>
      </c>
      <c r="P79" s="64">
        <f t="shared" si="257"/>
        <v>59.743200000000002</v>
      </c>
      <c r="Q79" s="64">
        <f t="shared" si="258"/>
        <v>9.9572000000000003</v>
      </c>
      <c r="R79" s="64">
        <f t="shared" si="259"/>
        <v>64.721800000000002</v>
      </c>
      <c r="S79" s="64">
        <f t="shared" si="260"/>
        <v>109.5292</v>
      </c>
      <c r="T79" s="64">
        <f t="shared" si="261"/>
        <v>74.679000000000002</v>
      </c>
      <c r="U79" s="64">
        <f t="shared" si="262"/>
        <v>14.9358</v>
      </c>
      <c r="V79" s="64">
        <f t="shared" si="263"/>
        <v>2.4893000000000001</v>
      </c>
      <c r="W79" s="64">
        <f t="shared" si="264"/>
        <v>94.593400000000003</v>
      </c>
      <c r="X79" s="64">
        <f t="shared" si="265"/>
        <v>159.3152</v>
      </c>
      <c r="Y79" s="64">
        <f t="shared" si="266"/>
        <v>74.679000000000002</v>
      </c>
      <c r="Z79" s="64">
        <f t="shared" si="267"/>
        <v>0</v>
      </c>
      <c r="AA79" s="64">
        <f t="shared" si="268"/>
        <v>0</v>
      </c>
      <c r="AB79" s="64">
        <f t="shared" si="269"/>
        <v>139.4008</v>
      </c>
      <c r="AC79" s="64">
        <f t="shared" si="270"/>
        <v>403.26659999999998</v>
      </c>
      <c r="AD79" s="64">
        <f t="shared" si="271"/>
        <v>149.358</v>
      </c>
      <c r="AE79" s="64">
        <f t="shared" si="272"/>
        <v>44.807400000000001</v>
      </c>
      <c r="AF79" s="64">
        <f t="shared" si="273"/>
        <v>7.4679000000000002</v>
      </c>
      <c r="AG79" s="65">
        <f t="shared" si="274"/>
        <v>16405.268100000001</v>
      </c>
      <c r="AH79" s="65">
        <f t="shared" si="275"/>
        <v>36911.853224999999</v>
      </c>
      <c r="AI79" s="65">
        <f t="shared" si="276"/>
        <v>16405.268100000001</v>
      </c>
      <c r="AJ79" s="65">
        <f t="shared" si="277"/>
        <v>3281.0536200000001</v>
      </c>
      <c r="AK79" s="65">
        <f t="shared" si="278"/>
        <v>546.84226999999998</v>
      </c>
      <c r="AL79" s="66">
        <v>0.9</v>
      </c>
      <c r="AM79" s="66">
        <v>0.75</v>
      </c>
      <c r="AN79" s="66">
        <v>0.9</v>
      </c>
      <c r="AO79" s="66">
        <v>0.1</v>
      </c>
      <c r="AP79" s="66">
        <v>0.1</v>
      </c>
      <c r="AQ79" s="65">
        <f t="shared" si="279"/>
        <v>14822.99091</v>
      </c>
      <c r="AR79" s="65">
        <f t="shared" si="280"/>
        <v>27766.036818749999</v>
      </c>
      <c r="AS79" s="65">
        <f t="shared" si="281"/>
        <v>14831.952390000002</v>
      </c>
      <c r="AT79" s="65">
        <f t="shared" si="282"/>
        <v>329.59894200000008</v>
      </c>
      <c r="AU79" s="65">
        <f t="shared" si="283"/>
        <v>54.933156999999994</v>
      </c>
      <c r="AV79" s="65">
        <f t="shared" si="284"/>
        <v>1646.99899</v>
      </c>
      <c r="AW79" s="65">
        <f t="shared" si="285"/>
        <v>9255.3456062499972</v>
      </c>
      <c r="AX79" s="65">
        <f t="shared" si="286"/>
        <v>1647.994709999999</v>
      </c>
      <c r="AY79" s="65">
        <f t="shared" si="287"/>
        <v>2966.3904780000003</v>
      </c>
      <c r="AZ79" s="65">
        <f t="shared" si="288"/>
        <v>494.39841299999995</v>
      </c>
      <c r="BA79" s="67">
        <f t="shared" si="289"/>
        <v>16703.984100000001</v>
      </c>
      <c r="BB79" s="67">
        <f t="shared" si="290"/>
        <v>37583.964224999996</v>
      </c>
      <c r="BC79" s="67">
        <f t="shared" si="291"/>
        <v>16703.984100000001</v>
      </c>
      <c r="BD79" s="68">
        <f t="shared" si="292"/>
        <v>3340.79682</v>
      </c>
      <c r="BE79" s="68">
        <f t="shared" si="293"/>
        <v>556.79946999999993</v>
      </c>
      <c r="BF79" s="67">
        <f t="shared" si="294"/>
        <v>1786.3997899999999</v>
      </c>
      <c r="BG79" s="67">
        <f t="shared" si="295"/>
        <v>9658.6122062499981</v>
      </c>
      <c r="BH79" s="67">
        <f t="shared" si="296"/>
        <v>1797.352709999999</v>
      </c>
      <c r="BI79" s="68">
        <f t="shared" si="297"/>
        <v>3011.1978780000004</v>
      </c>
      <c r="BJ79" s="68">
        <f t="shared" si="298"/>
        <v>501.86631299999993</v>
      </c>
      <c r="BK79" s="67">
        <f t="shared" si="299"/>
        <v>14917.58431</v>
      </c>
      <c r="BL79" s="67">
        <f t="shared" si="300"/>
        <v>27925.35201875</v>
      </c>
      <c r="BM79" s="67">
        <f t="shared" si="301"/>
        <v>14906.631390000002</v>
      </c>
      <c r="BN79" s="68">
        <f t="shared" si="302"/>
        <v>329.59894200000008</v>
      </c>
      <c r="BO79" s="187">
        <f t="shared" si="303"/>
        <v>54.933156999999994</v>
      </c>
      <c r="BP79" s="157"/>
      <c r="BQ79" s="148"/>
      <c r="BR79" s="148"/>
      <c r="BS79" s="148"/>
      <c r="BT79" s="148"/>
      <c r="BU79" s="148"/>
      <c r="BV79" s="149">
        <v>0</v>
      </c>
      <c r="BW79" s="150">
        <f t="shared" ref="BW79:BZ80" si="317">BV79+ROUND(BV79*BW$6,2)</f>
        <v>0</v>
      </c>
      <c r="BX79" s="150">
        <f t="shared" si="317"/>
        <v>0</v>
      </c>
      <c r="BY79" s="150">
        <f t="shared" si="317"/>
        <v>0</v>
      </c>
      <c r="BZ79" s="155">
        <f t="shared" si="317"/>
        <v>0</v>
      </c>
      <c r="CA79" s="179">
        <v>13836880</v>
      </c>
      <c r="CB79" s="203">
        <f t="shared" si="304"/>
        <v>1314503.6000000001</v>
      </c>
      <c r="CC79" s="198">
        <f>CA79+ROUND(CA79*CC$6,2)</f>
        <v>14182802</v>
      </c>
      <c r="CD79" s="206">
        <f t="shared" si="305"/>
        <v>1347366.19</v>
      </c>
      <c r="CE79" s="150">
        <f>CC79+ROUND(CC79*CE$6,2)</f>
        <v>14537372.050000001</v>
      </c>
      <c r="CF79" s="206">
        <f t="shared" si="306"/>
        <v>1381050.3447500002</v>
      </c>
      <c r="CG79" s="150">
        <f>CE79+ROUND(CE79*CG$6,2)</f>
        <v>14900806.350000001</v>
      </c>
      <c r="CH79" s="206">
        <f t="shared" si="307"/>
        <v>1415576.6032500002</v>
      </c>
      <c r="CI79" s="150">
        <f>CG79+ROUND(CG79*CI$6,2)</f>
        <v>15273326.510000002</v>
      </c>
      <c r="CJ79" s="206">
        <f t="shared" si="308"/>
        <v>1450966.0184500001</v>
      </c>
      <c r="CK79" s="150">
        <f>CI79+ROUND(CI79*CK$6,2)</f>
        <v>15655159.670000002</v>
      </c>
      <c r="CL79" s="206">
        <f t="shared" si="309"/>
        <v>1487240.1686500001</v>
      </c>
      <c r="CM79" s="150">
        <f>CK79+ROUND(CK79*CM$6,2)</f>
        <v>16046538.660000002</v>
      </c>
      <c r="CN79" s="150">
        <f>CM79+ROUND(CM79*CN$6,2)</f>
        <v>16447702.130000003</v>
      </c>
      <c r="CO79" s="157"/>
      <c r="CP79" s="150">
        <f t="shared" ref="CP79:CU79" si="318">CO79+ROUND(CO79*CP$6,2)</f>
        <v>0</v>
      </c>
      <c r="CQ79" s="150">
        <f t="shared" si="318"/>
        <v>0</v>
      </c>
      <c r="CR79" s="150">
        <f t="shared" si="318"/>
        <v>0</v>
      </c>
      <c r="CS79" s="150">
        <f t="shared" si="318"/>
        <v>0</v>
      </c>
      <c r="CT79" s="150">
        <f t="shared" si="318"/>
        <v>0</v>
      </c>
      <c r="CU79" s="150">
        <f t="shared" si="318"/>
        <v>0</v>
      </c>
      <c r="CV79" s="150">
        <f t="shared" si="187"/>
        <v>0</v>
      </c>
      <c r="CW79" s="150">
        <f t="shared" ref="CW79:DG79" si="319">CV79+ROUND(CV79*CW$6,2)</f>
        <v>0</v>
      </c>
      <c r="CX79" s="150">
        <f t="shared" si="319"/>
        <v>0</v>
      </c>
      <c r="CY79" s="150">
        <f t="shared" si="319"/>
        <v>0</v>
      </c>
      <c r="CZ79" s="155">
        <f t="shared" si="319"/>
        <v>0</v>
      </c>
      <c r="DA79" s="155">
        <f t="shared" si="319"/>
        <v>0</v>
      </c>
      <c r="DB79" s="155">
        <f t="shared" si="319"/>
        <v>0</v>
      </c>
      <c r="DC79" s="155">
        <f t="shared" si="319"/>
        <v>0</v>
      </c>
      <c r="DD79" s="155">
        <f t="shared" si="319"/>
        <v>0</v>
      </c>
      <c r="DE79" s="155">
        <f t="shared" si="319"/>
        <v>0</v>
      </c>
      <c r="DF79" s="155">
        <f t="shared" si="319"/>
        <v>0</v>
      </c>
      <c r="DG79" s="155">
        <f t="shared" si="319"/>
        <v>0</v>
      </c>
      <c r="DH79" s="236">
        <v>0</v>
      </c>
      <c r="DI79" s="243">
        <f t="shared" si="311"/>
        <v>13836880</v>
      </c>
      <c r="DJ79" s="248">
        <f t="shared" si="312"/>
        <v>1014.4340175953079</v>
      </c>
      <c r="DK79" s="382">
        <f>CA79/'1.piel'!M78</f>
        <v>1014.4340175953079</v>
      </c>
      <c r="DL79">
        <f>DH79/'1.piel'!G78</f>
        <v>0</v>
      </c>
    </row>
    <row r="80" spans="2:116" x14ac:dyDescent="0.25">
      <c r="B80" s="52">
        <v>3</v>
      </c>
      <c r="C80" s="53" t="s">
        <v>46</v>
      </c>
      <c r="D80" s="36" t="s">
        <v>244</v>
      </c>
      <c r="E80" s="110">
        <v>82413</v>
      </c>
      <c r="F80" s="178">
        <v>85000</v>
      </c>
      <c r="G80" s="63">
        <v>11077</v>
      </c>
      <c r="H80" s="99">
        <f t="shared" si="252"/>
        <v>96077</v>
      </c>
      <c r="I80" s="94">
        <f t="shared" si="240"/>
        <v>0.97</v>
      </c>
      <c r="J80" s="103">
        <f>F80*0.97</f>
        <v>82450</v>
      </c>
      <c r="K80" s="98">
        <f t="shared" si="241"/>
        <v>0.03</v>
      </c>
      <c r="L80" s="99">
        <f t="shared" si="253"/>
        <v>2550</v>
      </c>
      <c r="M80" s="174">
        <f t="shared" si="254"/>
        <v>55.844999999999999</v>
      </c>
      <c r="N80" s="64">
        <f t="shared" si="255"/>
        <v>125.65125</v>
      </c>
      <c r="O80" s="64">
        <f t="shared" si="256"/>
        <v>55.844999999999999</v>
      </c>
      <c r="P80" s="64">
        <f t="shared" si="257"/>
        <v>11.169</v>
      </c>
      <c r="Q80" s="64">
        <f t="shared" si="258"/>
        <v>1.8614999999999999</v>
      </c>
      <c r="R80" s="64">
        <f t="shared" si="259"/>
        <v>12.09975</v>
      </c>
      <c r="S80" s="64">
        <f t="shared" si="260"/>
        <v>20.476500000000001</v>
      </c>
      <c r="T80" s="64">
        <f t="shared" si="261"/>
        <v>13.96125</v>
      </c>
      <c r="U80" s="64">
        <f t="shared" si="262"/>
        <v>2.7922500000000001</v>
      </c>
      <c r="V80" s="64">
        <f t="shared" si="263"/>
        <v>0.46537499999999998</v>
      </c>
      <c r="W80" s="64">
        <f t="shared" si="264"/>
        <v>17.684249999999999</v>
      </c>
      <c r="X80" s="64">
        <f t="shared" si="265"/>
        <v>29.783999999999999</v>
      </c>
      <c r="Y80" s="64">
        <f t="shared" si="266"/>
        <v>13.96125</v>
      </c>
      <c r="Z80" s="64">
        <f t="shared" si="267"/>
        <v>0</v>
      </c>
      <c r="AA80" s="64">
        <f t="shared" si="268"/>
        <v>0</v>
      </c>
      <c r="AB80" s="64">
        <f t="shared" si="269"/>
        <v>26.061</v>
      </c>
      <c r="AC80" s="64">
        <f t="shared" si="270"/>
        <v>75.390749999999997</v>
      </c>
      <c r="AD80" s="64">
        <f t="shared" si="271"/>
        <v>27.922499999999999</v>
      </c>
      <c r="AE80" s="64">
        <f t="shared" si="272"/>
        <v>8.3767499999999995</v>
      </c>
      <c r="AF80" s="64">
        <f t="shared" si="273"/>
        <v>1.3961250000000001</v>
      </c>
      <c r="AG80" s="65">
        <f t="shared" si="274"/>
        <v>2048.2413000000001</v>
      </c>
      <c r="AH80" s="65">
        <f t="shared" si="275"/>
        <v>4608.5429249999997</v>
      </c>
      <c r="AI80" s="65">
        <f t="shared" si="276"/>
        <v>2048.2413000000001</v>
      </c>
      <c r="AJ80" s="65">
        <f t="shared" si="277"/>
        <v>409.64825999999999</v>
      </c>
      <c r="AK80" s="65">
        <f t="shared" si="278"/>
        <v>68.274709999999999</v>
      </c>
      <c r="AL80" s="66">
        <v>0.9</v>
      </c>
      <c r="AM80" s="66">
        <v>0.75</v>
      </c>
      <c r="AN80" s="66">
        <v>0.9</v>
      </c>
      <c r="AO80" s="66">
        <v>0.1</v>
      </c>
      <c r="AP80" s="66">
        <v>0.1</v>
      </c>
      <c r="AQ80" s="65">
        <f t="shared" si="279"/>
        <v>1854.306945</v>
      </c>
      <c r="AR80" s="65">
        <f t="shared" si="280"/>
        <v>3471.7645687499999</v>
      </c>
      <c r="AS80" s="65">
        <f t="shared" si="281"/>
        <v>1855.982295</v>
      </c>
      <c r="AT80" s="65">
        <f t="shared" si="282"/>
        <v>41.244051000000006</v>
      </c>
      <c r="AU80" s="65">
        <f t="shared" si="283"/>
        <v>6.8740084999999995</v>
      </c>
      <c r="AV80" s="65">
        <f t="shared" si="284"/>
        <v>206.03410499999995</v>
      </c>
      <c r="AW80" s="65">
        <f t="shared" si="285"/>
        <v>1157.2548562499996</v>
      </c>
      <c r="AX80" s="65">
        <f t="shared" si="286"/>
        <v>206.22025499999995</v>
      </c>
      <c r="AY80" s="65">
        <f t="shared" si="287"/>
        <v>371.196459</v>
      </c>
      <c r="AZ80" s="65">
        <f t="shared" si="288"/>
        <v>61.866076499999991</v>
      </c>
      <c r="BA80" s="67">
        <f t="shared" si="289"/>
        <v>2104.0862999999999</v>
      </c>
      <c r="BB80" s="67">
        <f t="shared" si="290"/>
        <v>4734.1941749999996</v>
      </c>
      <c r="BC80" s="67">
        <f t="shared" si="291"/>
        <v>2104.0862999999999</v>
      </c>
      <c r="BD80" s="68">
        <f t="shared" si="292"/>
        <v>420.81725999999998</v>
      </c>
      <c r="BE80" s="68">
        <f t="shared" si="293"/>
        <v>70.136210000000005</v>
      </c>
      <c r="BF80" s="67">
        <f t="shared" si="294"/>
        <v>232.09510499999996</v>
      </c>
      <c r="BG80" s="67">
        <f t="shared" si="295"/>
        <v>1232.6456062499997</v>
      </c>
      <c r="BH80" s="67">
        <f t="shared" si="296"/>
        <v>234.14275499999997</v>
      </c>
      <c r="BI80" s="68">
        <f t="shared" si="297"/>
        <v>379.57320900000002</v>
      </c>
      <c r="BJ80" s="68">
        <f t="shared" si="298"/>
        <v>63.262201499999989</v>
      </c>
      <c r="BK80" s="67">
        <f t="shared" si="299"/>
        <v>1871.9911950000001</v>
      </c>
      <c r="BL80" s="67">
        <f t="shared" si="300"/>
        <v>3501.54856875</v>
      </c>
      <c r="BM80" s="67">
        <f t="shared" si="301"/>
        <v>1869.9435450000001</v>
      </c>
      <c r="BN80" s="68">
        <f t="shared" si="302"/>
        <v>41.244051000000006</v>
      </c>
      <c r="BO80" s="187">
        <f t="shared" si="303"/>
        <v>6.8740084999999995</v>
      </c>
      <c r="BP80" s="157"/>
      <c r="BQ80" s="148"/>
      <c r="BR80" s="148"/>
      <c r="BS80" s="148"/>
      <c r="BT80" s="148"/>
      <c r="BU80" s="148"/>
      <c r="BV80" s="151">
        <v>1846880</v>
      </c>
      <c r="BW80" s="150">
        <f t="shared" si="317"/>
        <v>1939224</v>
      </c>
      <c r="BX80" s="150">
        <f t="shared" si="317"/>
        <v>2228168.38</v>
      </c>
      <c r="BY80" s="150">
        <f t="shared" si="317"/>
        <v>2237081.0499999998</v>
      </c>
      <c r="BZ80" s="155">
        <f t="shared" si="317"/>
        <v>2288533.9099999997</v>
      </c>
      <c r="CA80" s="179">
        <f>BZ80+ROUND(BZ80*CA$6,2)</f>
        <v>2345747.2599999998</v>
      </c>
      <c r="CB80" s="203">
        <f t="shared" si="304"/>
        <v>222845.98969999998</v>
      </c>
      <c r="CC80" s="198">
        <f>CA80+ROUND(CA80*CC$6,2)</f>
        <v>2404390.94</v>
      </c>
      <c r="CD80" s="206">
        <f t="shared" si="305"/>
        <v>228417.13930000001</v>
      </c>
      <c r="CE80" s="150">
        <f>CC80+ROUND(CC80*CE$6,2)</f>
        <v>2464500.71</v>
      </c>
      <c r="CF80" s="206">
        <f t="shared" si="306"/>
        <v>234127.56745</v>
      </c>
      <c r="CG80" s="150">
        <f>CE80+ROUND(CE80*CG$6,2)</f>
        <v>2526113.23</v>
      </c>
      <c r="CH80" s="206">
        <f t="shared" si="307"/>
        <v>239980.75685000001</v>
      </c>
      <c r="CI80" s="150">
        <f>CG80+ROUND(CG80*CI$6,2)</f>
        <v>2589266.06</v>
      </c>
      <c r="CJ80" s="206">
        <f t="shared" si="308"/>
        <v>245980.2757</v>
      </c>
      <c r="CK80" s="150">
        <f>CI80+ROUND(CI80*CK$6,2)</f>
        <v>2653997.71</v>
      </c>
      <c r="CL80" s="206">
        <f t="shared" si="309"/>
        <v>252129.78245</v>
      </c>
      <c r="CM80" s="150">
        <f>CK80+ROUND(CK80*CM$6,2)</f>
        <v>2720347.65</v>
      </c>
      <c r="CN80" s="150">
        <f>CM80+ROUND(CM80*CN$6,2)</f>
        <v>2788356.34</v>
      </c>
      <c r="CO80" s="157"/>
      <c r="CP80" s="148"/>
      <c r="CQ80" s="148"/>
      <c r="CR80" s="148"/>
      <c r="CS80" s="148"/>
      <c r="CT80" s="148"/>
      <c r="CU80" s="151">
        <v>14561180</v>
      </c>
      <c r="CV80" s="150">
        <f t="shared" si="187"/>
        <v>15289239</v>
      </c>
      <c r="CW80" s="150">
        <f t="shared" ref="CW80:DG80" si="320">CV80+ROUND(CV80*CW$6,2)</f>
        <v>17567335.609999999</v>
      </c>
      <c r="CX80" s="150">
        <f t="shared" si="320"/>
        <v>17637604.949999999</v>
      </c>
      <c r="CY80" s="150">
        <f t="shared" si="320"/>
        <v>18043269.859999999</v>
      </c>
      <c r="CZ80" s="155">
        <f t="shared" si="320"/>
        <v>18494351.609999999</v>
      </c>
      <c r="DA80" s="155">
        <f t="shared" si="320"/>
        <v>18956710.399999999</v>
      </c>
      <c r="DB80" s="155">
        <f t="shared" si="320"/>
        <v>19430628.16</v>
      </c>
      <c r="DC80" s="155">
        <f t="shared" si="320"/>
        <v>19916393.859999999</v>
      </c>
      <c r="DD80" s="155">
        <f t="shared" si="320"/>
        <v>20414303.710000001</v>
      </c>
      <c r="DE80" s="155">
        <f t="shared" si="320"/>
        <v>20924661.300000001</v>
      </c>
      <c r="DF80" s="155">
        <f t="shared" si="320"/>
        <v>21447777.830000002</v>
      </c>
      <c r="DG80" s="155">
        <f t="shared" si="320"/>
        <v>21983972.280000001</v>
      </c>
      <c r="DH80" s="236">
        <v>0</v>
      </c>
      <c r="DI80" s="243">
        <f t="shared" si="311"/>
        <v>2345747.2599999998</v>
      </c>
      <c r="DJ80" s="248">
        <f t="shared" si="312"/>
        <v>919.90088627450973</v>
      </c>
      <c r="DK80" s="382">
        <f>CA80/'1.piel'!M79</f>
        <v>919.90088627450973</v>
      </c>
      <c r="DL80">
        <f>DH80/'1.piel'!G79</f>
        <v>0</v>
      </c>
    </row>
    <row r="81" spans="2:116" x14ac:dyDescent="0.25">
      <c r="B81" s="52">
        <v>6</v>
      </c>
      <c r="C81" s="53" t="s">
        <v>50</v>
      </c>
      <c r="D81" s="36" t="s">
        <v>244</v>
      </c>
      <c r="E81" s="110">
        <v>38082</v>
      </c>
      <c r="F81" s="178">
        <v>39492</v>
      </c>
      <c r="G81" s="63">
        <v>1226</v>
      </c>
      <c r="H81" s="99">
        <f t="shared" si="252"/>
        <v>40718</v>
      </c>
      <c r="I81" s="94">
        <f t="shared" si="240"/>
        <v>0.98457915527195383</v>
      </c>
      <c r="J81" s="89">
        <v>38883</v>
      </c>
      <c r="K81" s="98">
        <f t="shared" si="241"/>
        <v>1.5420844728046187E-2</v>
      </c>
      <c r="L81" s="99">
        <f t="shared" si="253"/>
        <v>609</v>
      </c>
      <c r="M81" s="174">
        <f t="shared" si="254"/>
        <v>13.3371</v>
      </c>
      <c r="N81" s="64">
        <f t="shared" si="255"/>
        <v>30.008475000000001</v>
      </c>
      <c r="O81" s="64">
        <f t="shared" si="256"/>
        <v>13.3371</v>
      </c>
      <c r="P81" s="64">
        <f t="shared" si="257"/>
        <v>2.6674199999999999</v>
      </c>
      <c r="Q81" s="64">
        <f t="shared" si="258"/>
        <v>0.44457000000000002</v>
      </c>
      <c r="R81" s="64">
        <f t="shared" si="259"/>
        <v>2.8897050000000002</v>
      </c>
      <c r="S81" s="64">
        <f t="shared" si="260"/>
        <v>4.8902700000000001</v>
      </c>
      <c r="T81" s="64">
        <f t="shared" si="261"/>
        <v>3.3342749999999999</v>
      </c>
      <c r="U81" s="64">
        <f t="shared" si="262"/>
        <v>0.66685499999999998</v>
      </c>
      <c r="V81" s="64">
        <f t="shared" si="263"/>
        <v>0.11114250000000001</v>
      </c>
      <c r="W81" s="64">
        <f t="shared" si="264"/>
        <v>4.2234150000000001</v>
      </c>
      <c r="X81" s="64">
        <f t="shared" si="265"/>
        <v>7.1131200000000003</v>
      </c>
      <c r="Y81" s="64">
        <f t="shared" si="266"/>
        <v>3.3342749999999999</v>
      </c>
      <c r="Z81" s="64">
        <f t="shared" si="267"/>
        <v>0</v>
      </c>
      <c r="AA81" s="64">
        <f t="shared" si="268"/>
        <v>0</v>
      </c>
      <c r="AB81" s="64">
        <f t="shared" si="269"/>
        <v>6.2239800000000001</v>
      </c>
      <c r="AC81" s="64">
        <f t="shared" si="270"/>
        <v>18.005085000000001</v>
      </c>
      <c r="AD81" s="64">
        <f t="shared" si="271"/>
        <v>6.6685499999999998</v>
      </c>
      <c r="AE81" s="64">
        <f t="shared" si="272"/>
        <v>2.0005649999999999</v>
      </c>
      <c r="AF81" s="64">
        <f t="shared" si="273"/>
        <v>0.33342749999999999</v>
      </c>
      <c r="AG81" s="65">
        <f t="shared" si="274"/>
        <v>878.38710000000003</v>
      </c>
      <c r="AH81" s="65">
        <f t="shared" si="275"/>
        <v>1976.370975</v>
      </c>
      <c r="AI81" s="65">
        <f t="shared" si="276"/>
        <v>878.38710000000003</v>
      </c>
      <c r="AJ81" s="65">
        <f t="shared" si="277"/>
        <v>175.67742000000001</v>
      </c>
      <c r="AK81" s="65">
        <f t="shared" si="278"/>
        <v>29.27957</v>
      </c>
      <c r="AL81" s="66">
        <v>0.9</v>
      </c>
      <c r="AM81" s="66">
        <v>0.75</v>
      </c>
      <c r="AN81" s="66">
        <v>0.9</v>
      </c>
      <c r="AO81" s="66">
        <v>0.1</v>
      </c>
      <c r="AP81" s="66">
        <v>0.1</v>
      </c>
      <c r="AQ81" s="65">
        <f t="shared" si="279"/>
        <v>793.14912450000008</v>
      </c>
      <c r="AR81" s="65">
        <f t="shared" si="280"/>
        <v>1485.9459337500002</v>
      </c>
      <c r="AS81" s="65">
        <f t="shared" si="281"/>
        <v>793.54923750000012</v>
      </c>
      <c r="AT81" s="65">
        <f t="shared" si="282"/>
        <v>17.634427500000001</v>
      </c>
      <c r="AU81" s="65">
        <f t="shared" si="283"/>
        <v>2.93907125</v>
      </c>
      <c r="AV81" s="65">
        <f t="shared" si="284"/>
        <v>88.127680499999997</v>
      </c>
      <c r="AW81" s="65">
        <f t="shared" si="285"/>
        <v>495.31531124999992</v>
      </c>
      <c r="AX81" s="65">
        <f t="shared" si="286"/>
        <v>88.172137499999963</v>
      </c>
      <c r="AY81" s="65">
        <f t="shared" si="287"/>
        <v>158.70984750000002</v>
      </c>
      <c r="AZ81" s="65">
        <f t="shared" si="288"/>
        <v>26.451641249999998</v>
      </c>
      <c r="BA81" s="67">
        <f t="shared" si="289"/>
        <v>891.7242</v>
      </c>
      <c r="BB81" s="67">
        <f t="shared" si="290"/>
        <v>2006.3794500000001</v>
      </c>
      <c r="BC81" s="67">
        <f t="shared" si="291"/>
        <v>891.7242</v>
      </c>
      <c r="BD81" s="68">
        <f t="shared" si="292"/>
        <v>178.34484</v>
      </c>
      <c r="BE81" s="68">
        <f t="shared" si="293"/>
        <v>29.724139999999998</v>
      </c>
      <c r="BF81" s="67">
        <f t="shared" si="294"/>
        <v>94.351660499999994</v>
      </c>
      <c r="BG81" s="67">
        <f t="shared" si="295"/>
        <v>513.32039624999993</v>
      </c>
      <c r="BH81" s="67">
        <f t="shared" si="296"/>
        <v>94.840687499999959</v>
      </c>
      <c r="BI81" s="68">
        <f t="shared" si="297"/>
        <v>160.71041250000002</v>
      </c>
      <c r="BJ81" s="68">
        <f t="shared" si="298"/>
        <v>26.785068749999997</v>
      </c>
      <c r="BK81" s="67">
        <f t="shared" si="299"/>
        <v>797.37253950000013</v>
      </c>
      <c r="BL81" s="67">
        <f t="shared" si="300"/>
        <v>1493.0590537500002</v>
      </c>
      <c r="BM81" s="67">
        <f t="shared" si="301"/>
        <v>796.88351250000017</v>
      </c>
      <c r="BN81" s="68">
        <f t="shared" si="302"/>
        <v>17.634427500000001</v>
      </c>
      <c r="BO81" s="187">
        <f t="shared" si="303"/>
        <v>2.93907125</v>
      </c>
      <c r="BP81" s="157"/>
      <c r="BQ81" s="148"/>
      <c r="BR81" s="148"/>
      <c r="BS81" s="148"/>
      <c r="BT81" s="148"/>
      <c r="BU81" s="148"/>
      <c r="BV81" s="151">
        <f>(298720+60000+144280+1842476+382812)*0.6</f>
        <v>1636972.8</v>
      </c>
      <c r="BW81" s="150">
        <f t="shared" ref="BW81:BW91" si="321">BV81+ROUND(BV81*$BW$6,2)</f>
        <v>1718821.44</v>
      </c>
      <c r="BX81" s="150">
        <f t="shared" ref="BX81:BX102" si="322">BW81+ROUND(BW81*$BX$6,2)</f>
        <v>1974925.83</v>
      </c>
      <c r="BY81" s="150">
        <f t="shared" ref="BY81:BY104" si="323">BX81+ROUND(BX81*$BY$6,2)</f>
        <v>1982825.53</v>
      </c>
      <c r="BZ81" s="155">
        <f t="shared" ref="BZ81:CA104" si="324">BY81+ROUND(BY81*$BZ$6,2)</f>
        <v>2028430.52</v>
      </c>
      <c r="CA81" s="179">
        <f t="shared" si="324"/>
        <v>2075084.42</v>
      </c>
      <c r="CB81" s="203">
        <f t="shared" si="304"/>
        <v>197133.01989999998</v>
      </c>
      <c r="CC81" s="198">
        <f t="shared" ref="CC81:CC104" si="325">CA81+ROUND(CA81*$BZ$6,2)</f>
        <v>2122811.36</v>
      </c>
      <c r="CD81" s="206">
        <f t="shared" si="305"/>
        <v>201667.07919999998</v>
      </c>
      <c r="CE81" s="150">
        <f t="shared" ref="CE81:CE104" si="326">CC81+ROUND(CC81*$BZ$6,2)</f>
        <v>2171636.02</v>
      </c>
      <c r="CF81" s="206">
        <f t="shared" si="306"/>
        <v>206305.42190000002</v>
      </c>
      <c r="CG81" s="150">
        <f t="shared" ref="CG81:CG104" si="327">CE81+ROUND(CE81*$BZ$6,2)</f>
        <v>2221583.65</v>
      </c>
      <c r="CH81" s="206">
        <f t="shared" si="307"/>
        <v>211050.44675</v>
      </c>
      <c r="CI81" s="150">
        <f t="shared" ref="CI81:CI104" si="328">CG81+ROUND(CG81*$BZ$6,2)</f>
        <v>2272680.0699999998</v>
      </c>
      <c r="CJ81" s="206">
        <f t="shared" si="308"/>
        <v>215904.60664999997</v>
      </c>
      <c r="CK81" s="150">
        <f t="shared" ref="CK81:CK104" si="329">CI81+ROUND(CI81*$BZ$6,2)</f>
        <v>2324951.71</v>
      </c>
      <c r="CL81" s="206">
        <f t="shared" si="309"/>
        <v>220870.41245</v>
      </c>
      <c r="CM81" s="150">
        <f t="shared" ref="CM81:CM104" si="330">CK81+ROUND(CK81*$BZ$6,2)</f>
        <v>2378425.6</v>
      </c>
      <c r="CN81" s="150">
        <f t="shared" ref="CN81:CN104" si="331">CM81+ROUND(CM81*$BZ$6,2)</f>
        <v>2433129.39</v>
      </c>
      <c r="CO81" s="157"/>
      <c r="CP81" s="148"/>
      <c r="CQ81" s="148"/>
      <c r="CR81" s="148"/>
      <c r="CS81" s="148"/>
      <c r="CT81" s="148"/>
      <c r="CU81" s="151">
        <f>(1854360+1896459)*0.6</f>
        <v>2250491.4</v>
      </c>
      <c r="CV81" s="150">
        <f t="shared" si="187"/>
        <v>2363015.9699999997</v>
      </c>
      <c r="CW81" s="150">
        <f t="shared" ref="CW81:DG81" si="332">CV81+ROUND(CV81*CW$6,2)</f>
        <v>2715105.3499999996</v>
      </c>
      <c r="CX81" s="150">
        <f t="shared" si="332"/>
        <v>2725965.7699999996</v>
      </c>
      <c r="CY81" s="150">
        <f t="shared" si="332"/>
        <v>2788662.9799999995</v>
      </c>
      <c r="CZ81" s="155">
        <f t="shared" si="332"/>
        <v>2858379.5499999993</v>
      </c>
      <c r="DA81" s="155">
        <f t="shared" si="332"/>
        <v>2929839.0399999996</v>
      </c>
      <c r="DB81" s="155">
        <f t="shared" si="332"/>
        <v>3003085.0199999996</v>
      </c>
      <c r="DC81" s="155">
        <f t="shared" si="332"/>
        <v>3078162.1499999994</v>
      </c>
      <c r="DD81" s="155">
        <f t="shared" si="332"/>
        <v>3155116.1999999993</v>
      </c>
      <c r="DE81" s="155">
        <f t="shared" si="332"/>
        <v>3233994.1099999994</v>
      </c>
      <c r="DF81" s="155">
        <f t="shared" si="332"/>
        <v>3314843.9599999995</v>
      </c>
      <c r="DG81" s="155">
        <f t="shared" si="332"/>
        <v>3397715.0599999996</v>
      </c>
      <c r="DH81" s="236">
        <v>0</v>
      </c>
      <c r="DI81" s="243">
        <f t="shared" si="311"/>
        <v>2075084.42</v>
      </c>
      <c r="DJ81" s="248">
        <f t="shared" si="312"/>
        <v>3407.3635796387521</v>
      </c>
      <c r="DK81" s="382">
        <f>CA81/'1.piel'!M80</f>
        <v>3407.3635796387521</v>
      </c>
      <c r="DL81">
        <f>DH81/'1.piel'!G80</f>
        <v>0</v>
      </c>
    </row>
    <row r="82" spans="2:116" x14ac:dyDescent="0.25">
      <c r="B82" s="52">
        <v>20</v>
      </c>
      <c r="C82" s="53" t="s">
        <v>64</v>
      </c>
      <c r="D82" s="36" t="s">
        <v>244</v>
      </c>
      <c r="E82" s="110">
        <v>9598</v>
      </c>
      <c r="F82" s="178">
        <v>12838</v>
      </c>
      <c r="G82" s="63">
        <v>0</v>
      </c>
      <c r="H82" s="99">
        <f t="shared" si="252"/>
        <v>12838</v>
      </c>
      <c r="I82" s="94">
        <f t="shared" si="240"/>
        <v>0.9299735161240068</v>
      </c>
      <c r="J82" s="89">
        <v>11939</v>
      </c>
      <c r="K82" s="98">
        <f t="shared" si="241"/>
        <v>7.002648387599314E-2</v>
      </c>
      <c r="L82" s="99">
        <f t="shared" si="253"/>
        <v>899</v>
      </c>
      <c r="M82" s="174">
        <f t="shared" si="254"/>
        <v>19.688099999999999</v>
      </c>
      <c r="N82" s="64">
        <f t="shared" si="255"/>
        <v>44.298225000000002</v>
      </c>
      <c r="O82" s="64">
        <f t="shared" si="256"/>
        <v>19.688099999999999</v>
      </c>
      <c r="P82" s="64">
        <f t="shared" si="257"/>
        <v>3.9376199999999999</v>
      </c>
      <c r="Q82" s="64">
        <f t="shared" si="258"/>
        <v>0.65627000000000002</v>
      </c>
      <c r="R82" s="64">
        <f t="shared" si="259"/>
        <v>4.2657550000000004</v>
      </c>
      <c r="S82" s="64">
        <f t="shared" si="260"/>
        <v>7.2189699999999997</v>
      </c>
      <c r="T82" s="64">
        <f t="shared" si="261"/>
        <v>4.9220249999999997</v>
      </c>
      <c r="U82" s="64">
        <f t="shared" si="262"/>
        <v>0.98440499999999997</v>
      </c>
      <c r="V82" s="64">
        <f t="shared" si="263"/>
        <v>0.16406750000000001</v>
      </c>
      <c r="W82" s="64">
        <f t="shared" si="264"/>
        <v>6.2345649999999999</v>
      </c>
      <c r="X82" s="64">
        <f t="shared" si="265"/>
        <v>10.50032</v>
      </c>
      <c r="Y82" s="64">
        <f t="shared" si="266"/>
        <v>4.9220249999999997</v>
      </c>
      <c r="Z82" s="64">
        <f t="shared" si="267"/>
        <v>0</v>
      </c>
      <c r="AA82" s="64">
        <f t="shared" si="268"/>
        <v>0</v>
      </c>
      <c r="AB82" s="64">
        <f t="shared" si="269"/>
        <v>9.1877800000000001</v>
      </c>
      <c r="AC82" s="64">
        <f t="shared" si="270"/>
        <v>26.578935000000001</v>
      </c>
      <c r="AD82" s="64">
        <f t="shared" si="271"/>
        <v>9.8440499999999993</v>
      </c>
      <c r="AE82" s="64">
        <f t="shared" si="272"/>
        <v>2.9532150000000001</v>
      </c>
      <c r="AF82" s="64">
        <f t="shared" si="273"/>
        <v>0.49220249999999999</v>
      </c>
      <c r="AG82" s="65">
        <f t="shared" si="274"/>
        <v>261.46409999999997</v>
      </c>
      <c r="AH82" s="65">
        <f t="shared" si="275"/>
        <v>588.29422499999998</v>
      </c>
      <c r="AI82" s="65">
        <f t="shared" si="276"/>
        <v>261.46409999999997</v>
      </c>
      <c r="AJ82" s="65">
        <f t="shared" si="277"/>
        <v>52.292819999999999</v>
      </c>
      <c r="AK82" s="65">
        <f t="shared" si="278"/>
        <v>8.7154699999999998</v>
      </c>
      <c r="AL82" s="66">
        <v>0.9</v>
      </c>
      <c r="AM82" s="66">
        <v>0.75</v>
      </c>
      <c r="AN82" s="66">
        <v>0.9</v>
      </c>
      <c r="AO82" s="66">
        <v>0.1</v>
      </c>
      <c r="AP82" s="66">
        <v>0.1</v>
      </c>
      <c r="AQ82" s="65">
        <f t="shared" si="279"/>
        <v>239.1568695</v>
      </c>
      <c r="AR82" s="65">
        <f t="shared" si="280"/>
        <v>446.63489625</v>
      </c>
      <c r="AS82" s="65">
        <f t="shared" si="281"/>
        <v>239.7475125</v>
      </c>
      <c r="AT82" s="65">
        <f t="shared" si="282"/>
        <v>5.3277225000000001</v>
      </c>
      <c r="AU82" s="65">
        <f t="shared" si="283"/>
        <v>0.88795374999999999</v>
      </c>
      <c r="AV82" s="65">
        <f t="shared" si="284"/>
        <v>26.572985499999987</v>
      </c>
      <c r="AW82" s="65">
        <f t="shared" si="285"/>
        <v>148.87829875</v>
      </c>
      <c r="AX82" s="65">
        <f t="shared" si="286"/>
        <v>26.638612499999994</v>
      </c>
      <c r="AY82" s="65">
        <f t="shared" si="287"/>
        <v>47.949502500000001</v>
      </c>
      <c r="AZ82" s="65">
        <f t="shared" si="288"/>
        <v>7.9915837499999993</v>
      </c>
      <c r="BA82" s="67">
        <f t="shared" si="289"/>
        <v>281.15219999999999</v>
      </c>
      <c r="BB82" s="67">
        <f t="shared" si="290"/>
        <v>632.59244999999999</v>
      </c>
      <c r="BC82" s="67">
        <f t="shared" si="291"/>
        <v>281.15219999999999</v>
      </c>
      <c r="BD82" s="68">
        <f t="shared" si="292"/>
        <v>56.230440000000002</v>
      </c>
      <c r="BE82" s="68">
        <f t="shared" si="293"/>
        <v>9.3717399999999991</v>
      </c>
      <c r="BF82" s="67">
        <f t="shared" si="294"/>
        <v>35.760765499999991</v>
      </c>
      <c r="BG82" s="67">
        <f t="shared" si="295"/>
        <v>175.45723375</v>
      </c>
      <c r="BH82" s="67">
        <f t="shared" si="296"/>
        <v>36.482662499999989</v>
      </c>
      <c r="BI82" s="68">
        <f t="shared" si="297"/>
        <v>50.902717500000001</v>
      </c>
      <c r="BJ82" s="68">
        <f t="shared" si="298"/>
        <v>8.4837862499999996</v>
      </c>
      <c r="BK82" s="67">
        <f t="shared" si="299"/>
        <v>245.3914345</v>
      </c>
      <c r="BL82" s="67">
        <f t="shared" si="300"/>
        <v>457.13521624999998</v>
      </c>
      <c r="BM82" s="67">
        <f t="shared" si="301"/>
        <v>244.66953749999999</v>
      </c>
      <c r="BN82" s="68">
        <f t="shared" si="302"/>
        <v>5.3277225000000001</v>
      </c>
      <c r="BO82" s="187">
        <f t="shared" si="303"/>
        <v>0.88795374999999999</v>
      </c>
      <c r="BP82" s="157"/>
      <c r="BQ82" s="148"/>
      <c r="BR82" s="148"/>
      <c r="BS82" s="148"/>
      <c r="BT82" s="148"/>
      <c r="BU82" s="148"/>
      <c r="BV82" s="151">
        <v>1708700</v>
      </c>
      <c r="BW82" s="150">
        <f t="shared" si="321"/>
        <v>1794135</v>
      </c>
      <c r="BX82" s="150">
        <f t="shared" si="322"/>
        <v>2061461.12</v>
      </c>
      <c r="BY82" s="150">
        <f t="shared" si="323"/>
        <v>2069706.9600000002</v>
      </c>
      <c r="BZ82" s="155">
        <f t="shared" si="324"/>
        <v>2117310.2200000002</v>
      </c>
      <c r="CA82" s="179">
        <f t="shared" si="324"/>
        <v>2166008.3600000003</v>
      </c>
      <c r="CB82" s="203">
        <f t="shared" si="304"/>
        <v>205770.79420000003</v>
      </c>
      <c r="CC82" s="198">
        <f t="shared" si="325"/>
        <v>2215826.5500000003</v>
      </c>
      <c r="CD82" s="206">
        <f t="shared" si="305"/>
        <v>210503.52225000004</v>
      </c>
      <c r="CE82" s="150">
        <f t="shared" si="326"/>
        <v>2266790.56</v>
      </c>
      <c r="CF82" s="206">
        <f t="shared" si="306"/>
        <v>215345.10320000001</v>
      </c>
      <c r="CG82" s="150">
        <f t="shared" si="327"/>
        <v>2318926.7400000002</v>
      </c>
      <c r="CH82" s="206">
        <f t="shared" si="307"/>
        <v>220298.04030000002</v>
      </c>
      <c r="CI82" s="150">
        <f t="shared" si="328"/>
        <v>2372262.06</v>
      </c>
      <c r="CJ82" s="206">
        <f t="shared" si="308"/>
        <v>225364.89569999999</v>
      </c>
      <c r="CK82" s="150">
        <f t="shared" si="329"/>
        <v>2426824.09</v>
      </c>
      <c r="CL82" s="206">
        <f t="shared" si="309"/>
        <v>230548.28855</v>
      </c>
      <c r="CM82" s="150">
        <f t="shared" si="330"/>
        <v>2482641.04</v>
      </c>
      <c r="CN82" s="150">
        <f t="shared" si="331"/>
        <v>2539741.7800000003</v>
      </c>
      <c r="CO82" s="157"/>
      <c r="CP82" s="148"/>
      <c r="CQ82" s="148"/>
      <c r="CR82" s="148"/>
      <c r="CS82" s="148"/>
      <c r="CT82" s="148"/>
      <c r="CU82" s="151">
        <v>0</v>
      </c>
      <c r="CV82" s="150">
        <f t="shared" si="187"/>
        <v>0</v>
      </c>
      <c r="CW82" s="150">
        <f t="shared" ref="CW82:DG82" si="333">CV82+ROUND(CV82*CW$6,2)</f>
        <v>0</v>
      </c>
      <c r="CX82" s="150">
        <f t="shared" si="333"/>
        <v>0</v>
      </c>
      <c r="CY82" s="150">
        <f t="shared" si="333"/>
        <v>0</v>
      </c>
      <c r="CZ82" s="155">
        <f t="shared" si="333"/>
        <v>0</v>
      </c>
      <c r="DA82" s="155">
        <f t="shared" si="333"/>
        <v>0</v>
      </c>
      <c r="DB82" s="155">
        <f t="shared" si="333"/>
        <v>0</v>
      </c>
      <c r="DC82" s="155">
        <f t="shared" si="333"/>
        <v>0</v>
      </c>
      <c r="DD82" s="155">
        <f t="shared" si="333"/>
        <v>0</v>
      </c>
      <c r="DE82" s="155">
        <f t="shared" si="333"/>
        <v>0</v>
      </c>
      <c r="DF82" s="155">
        <f t="shared" si="333"/>
        <v>0</v>
      </c>
      <c r="DG82" s="155">
        <f t="shared" si="333"/>
        <v>0</v>
      </c>
      <c r="DH82" s="236">
        <v>0</v>
      </c>
      <c r="DI82" s="243">
        <f t="shared" si="311"/>
        <v>2166008.3600000003</v>
      </c>
      <c r="DJ82" s="248">
        <f t="shared" si="312"/>
        <v>2409.353014460512</v>
      </c>
      <c r="DK82" s="382">
        <f>CA82/'1.piel'!M81</f>
        <v>2409.353014460512</v>
      </c>
      <c r="DL82">
        <f>DH82/'1.piel'!G81</f>
        <v>0</v>
      </c>
    </row>
    <row r="83" spans="2:116" x14ac:dyDescent="0.25">
      <c r="B83" s="52">
        <v>35</v>
      </c>
      <c r="C83" s="53" t="s">
        <v>75</v>
      </c>
      <c r="D83" s="40" t="s">
        <v>244</v>
      </c>
      <c r="E83" s="110">
        <v>5920</v>
      </c>
      <c r="F83" s="178">
        <v>10591</v>
      </c>
      <c r="G83" s="63">
        <v>23821</v>
      </c>
      <c r="H83" s="99">
        <f t="shared" si="252"/>
        <v>34412</v>
      </c>
      <c r="I83" s="94">
        <f t="shared" si="240"/>
        <v>0.94363138513832501</v>
      </c>
      <c r="J83" s="89">
        <v>9994</v>
      </c>
      <c r="K83" s="98">
        <f t="shared" si="241"/>
        <v>5.6368614861675007E-2</v>
      </c>
      <c r="L83" s="99">
        <f t="shared" si="253"/>
        <v>597</v>
      </c>
      <c r="M83" s="174">
        <f t="shared" si="254"/>
        <v>13.074299999999999</v>
      </c>
      <c r="N83" s="64">
        <f t="shared" si="255"/>
        <v>29.417175</v>
      </c>
      <c r="O83" s="64">
        <f t="shared" si="256"/>
        <v>13.074299999999999</v>
      </c>
      <c r="P83" s="64">
        <f t="shared" si="257"/>
        <v>2.6148600000000002</v>
      </c>
      <c r="Q83" s="64">
        <f t="shared" si="258"/>
        <v>0.43580999999999998</v>
      </c>
      <c r="R83" s="64">
        <f t="shared" si="259"/>
        <v>2.8327650000000002</v>
      </c>
      <c r="S83" s="64">
        <f t="shared" si="260"/>
        <v>4.7939100000000003</v>
      </c>
      <c r="T83" s="64">
        <f t="shared" si="261"/>
        <v>3.2685749999999998</v>
      </c>
      <c r="U83" s="64">
        <f t="shared" si="262"/>
        <v>0.65371500000000005</v>
      </c>
      <c r="V83" s="64">
        <f t="shared" si="263"/>
        <v>0.10895249999999999</v>
      </c>
      <c r="W83" s="64">
        <f t="shared" si="264"/>
        <v>4.1401950000000003</v>
      </c>
      <c r="X83" s="64">
        <f t="shared" si="265"/>
        <v>6.9729599999999996</v>
      </c>
      <c r="Y83" s="64">
        <f t="shared" si="266"/>
        <v>3.2685749999999998</v>
      </c>
      <c r="Z83" s="64">
        <f t="shared" si="267"/>
        <v>0</v>
      </c>
      <c r="AA83" s="64">
        <f t="shared" si="268"/>
        <v>0</v>
      </c>
      <c r="AB83" s="64">
        <f t="shared" si="269"/>
        <v>6.1013400000000004</v>
      </c>
      <c r="AC83" s="64">
        <f t="shared" si="270"/>
        <v>17.650304999999999</v>
      </c>
      <c r="AD83" s="64">
        <f t="shared" si="271"/>
        <v>6.5371499999999996</v>
      </c>
      <c r="AE83" s="64">
        <f t="shared" si="272"/>
        <v>1.9611449999999999</v>
      </c>
      <c r="AF83" s="64">
        <f t="shared" si="273"/>
        <v>0.32685750000000002</v>
      </c>
      <c r="AG83" s="65">
        <f t="shared" si="274"/>
        <v>740.54849999999999</v>
      </c>
      <c r="AH83" s="65">
        <f t="shared" si="275"/>
        <v>1666.2341249999999</v>
      </c>
      <c r="AI83" s="65">
        <f t="shared" si="276"/>
        <v>740.54849999999999</v>
      </c>
      <c r="AJ83" s="65">
        <f t="shared" si="277"/>
        <v>148.1097</v>
      </c>
      <c r="AK83" s="65">
        <f t="shared" si="278"/>
        <v>24.684950000000001</v>
      </c>
      <c r="AL83" s="66">
        <v>0.9</v>
      </c>
      <c r="AM83" s="66">
        <v>0.75</v>
      </c>
      <c r="AN83" s="66">
        <v>0.9</v>
      </c>
      <c r="AO83" s="66">
        <v>0.1</v>
      </c>
      <c r="AP83" s="66">
        <v>0.1</v>
      </c>
      <c r="AQ83" s="65">
        <f t="shared" si="279"/>
        <v>669.04313850000005</v>
      </c>
      <c r="AR83" s="65">
        <f t="shared" si="280"/>
        <v>1253.27102625</v>
      </c>
      <c r="AS83" s="65">
        <f t="shared" si="281"/>
        <v>669.4353675000001</v>
      </c>
      <c r="AT83" s="65">
        <f t="shared" si="282"/>
        <v>14.876341500000002</v>
      </c>
      <c r="AU83" s="65">
        <f t="shared" si="283"/>
        <v>2.4793902500000002</v>
      </c>
      <c r="AV83" s="65">
        <f t="shared" si="284"/>
        <v>74.33812649999993</v>
      </c>
      <c r="AW83" s="65">
        <f t="shared" si="285"/>
        <v>417.75700875000007</v>
      </c>
      <c r="AX83" s="65">
        <f t="shared" si="286"/>
        <v>74.381707499999948</v>
      </c>
      <c r="AY83" s="65">
        <f t="shared" si="287"/>
        <v>133.88707350000001</v>
      </c>
      <c r="AZ83" s="65">
        <f t="shared" si="288"/>
        <v>22.31451225</v>
      </c>
      <c r="BA83" s="67">
        <f t="shared" si="289"/>
        <v>753.62279999999998</v>
      </c>
      <c r="BB83" s="67">
        <f t="shared" si="290"/>
        <v>1695.6513</v>
      </c>
      <c r="BC83" s="67">
        <f t="shared" si="291"/>
        <v>753.62279999999998</v>
      </c>
      <c r="BD83" s="68">
        <f t="shared" si="292"/>
        <v>150.72456</v>
      </c>
      <c r="BE83" s="68">
        <f t="shared" si="293"/>
        <v>25.120760000000001</v>
      </c>
      <c r="BF83" s="67">
        <f t="shared" si="294"/>
        <v>80.439466499999924</v>
      </c>
      <c r="BG83" s="67">
        <f t="shared" si="295"/>
        <v>435.40731375000007</v>
      </c>
      <c r="BH83" s="67">
        <f t="shared" si="296"/>
        <v>80.918857499999945</v>
      </c>
      <c r="BI83" s="68">
        <f t="shared" si="297"/>
        <v>135.8482185</v>
      </c>
      <c r="BJ83" s="68">
        <f t="shared" si="298"/>
        <v>22.641369749999999</v>
      </c>
      <c r="BK83" s="67">
        <f t="shared" si="299"/>
        <v>673.1833335</v>
      </c>
      <c r="BL83" s="67">
        <f t="shared" si="300"/>
        <v>1260.24398625</v>
      </c>
      <c r="BM83" s="67">
        <f t="shared" si="301"/>
        <v>672.70394250000015</v>
      </c>
      <c r="BN83" s="68">
        <f t="shared" si="302"/>
        <v>14.876341500000002</v>
      </c>
      <c r="BO83" s="187">
        <f t="shared" si="303"/>
        <v>2.4793902500000002</v>
      </c>
      <c r="BP83" s="157"/>
      <c r="BQ83" s="148"/>
      <c r="BR83" s="148"/>
      <c r="BS83" s="148"/>
      <c r="BT83" s="148"/>
      <c r="BU83" s="148"/>
      <c r="BV83" s="151">
        <v>1932201</v>
      </c>
      <c r="BW83" s="150">
        <f t="shared" si="321"/>
        <v>2028811.05</v>
      </c>
      <c r="BX83" s="150">
        <f t="shared" si="322"/>
        <v>2331103.9</v>
      </c>
      <c r="BY83" s="150">
        <f t="shared" si="323"/>
        <v>2340428.3199999998</v>
      </c>
      <c r="BZ83" s="155">
        <f t="shared" si="324"/>
        <v>2394258.17</v>
      </c>
      <c r="CA83" s="179">
        <f t="shared" si="324"/>
        <v>2449326.11</v>
      </c>
      <c r="CB83" s="203">
        <f t="shared" si="304"/>
        <v>232685.98045</v>
      </c>
      <c r="CC83" s="198">
        <f t="shared" si="325"/>
        <v>2505660.61</v>
      </c>
      <c r="CD83" s="206">
        <f t="shared" si="305"/>
        <v>238037.75795</v>
      </c>
      <c r="CE83" s="150">
        <f t="shared" si="326"/>
        <v>2563290.7999999998</v>
      </c>
      <c r="CF83" s="206">
        <f t="shared" si="306"/>
        <v>243512.62599999999</v>
      </c>
      <c r="CG83" s="150">
        <f t="shared" si="327"/>
        <v>2622246.4899999998</v>
      </c>
      <c r="CH83" s="206">
        <f t="shared" si="307"/>
        <v>249113.41654999997</v>
      </c>
      <c r="CI83" s="150">
        <f t="shared" si="328"/>
        <v>2682558.1599999997</v>
      </c>
      <c r="CJ83" s="206">
        <f t="shared" si="308"/>
        <v>254843.02519999997</v>
      </c>
      <c r="CK83" s="150">
        <f t="shared" si="329"/>
        <v>2744256.9999999995</v>
      </c>
      <c r="CL83" s="206">
        <f t="shared" si="309"/>
        <v>260704.41499999995</v>
      </c>
      <c r="CM83" s="150">
        <f t="shared" si="330"/>
        <v>2807374.9099999997</v>
      </c>
      <c r="CN83" s="150">
        <f t="shared" si="331"/>
        <v>2871944.53</v>
      </c>
      <c r="CO83" s="157"/>
      <c r="CP83" s="148"/>
      <c r="CQ83" s="148"/>
      <c r="CR83" s="148"/>
      <c r="CS83" s="148"/>
      <c r="CT83" s="148"/>
      <c r="CU83" s="151">
        <v>0</v>
      </c>
      <c r="CV83" s="150">
        <f t="shared" si="187"/>
        <v>0</v>
      </c>
      <c r="CW83" s="150">
        <f t="shared" ref="CW83:DG83" si="334">CV83+ROUND(CV83*CW$6,2)</f>
        <v>0</v>
      </c>
      <c r="CX83" s="150">
        <f t="shared" si="334"/>
        <v>0</v>
      </c>
      <c r="CY83" s="150">
        <f t="shared" si="334"/>
        <v>0</v>
      </c>
      <c r="CZ83" s="155">
        <f t="shared" si="334"/>
        <v>0</v>
      </c>
      <c r="DA83" s="155">
        <f t="shared" si="334"/>
        <v>0</v>
      </c>
      <c r="DB83" s="155">
        <f t="shared" si="334"/>
        <v>0</v>
      </c>
      <c r="DC83" s="155">
        <f t="shared" si="334"/>
        <v>0</v>
      </c>
      <c r="DD83" s="155">
        <f t="shared" si="334"/>
        <v>0</v>
      </c>
      <c r="DE83" s="155">
        <f t="shared" si="334"/>
        <v>0</v>
      </c>
      <c r="DF83" s="155">
        <f t="shared" si="334"/>
        <v>0</v>
      </c>
      <c r="DG83" s="155">
        <f t="shared" si="334"/>
        <v>0</v>
      </c>
      <c r="DH83" s="236">
        <v>0</v>
      </c>
      <c r="DI83" s="243">
        <f t="shared" si="311"/>
        <v>2449326.11</v>
      </c>
      <c r="DJ83" s="248">
        <f t="shared" si="312"/>
        <v>4102.7238023450582</v>
      </c>
      <c r="DK83" s="382">
        <f>CA83/'1.piel'!M82</f>
        <v>4102.7238023450582</v>
      </c>
      <c r="DL83">
        <f>DH83/'1.piel'!G82</f>
        <v>0</v>
      </c>
    </row>
    <row r="84" spans="2:116" x14ac:dyDescent="0.25">
      <c r="B84" s="52">
        <v>49</v>
      </c>
      <c r="C84" s="53" t="s">
        <v>87</v>
      </c>
      <c r="D84" s="40" t="s">
        <v>244</v>
      </c>
      <c r="E84" s="110">
        <v>3184</v>
      </c>
      <c r="F84" s="178">
        <v>3297</v>
      </c>
      <c r="G84" s="63">
        <v>4027</v>
      </c>
      <c r="H84" s="99">
        <f t="shared" si="252"/>
        <v>7324</v>
      </c>
      <c r="I84" s="94">
        <f t="shared" si="240"/>
        <v>0.87989080982711554</v>
      </c>
      <c r="J84" s="89">
        <v>2901</v>
      </c>
      <c r="K84" s="98">
        <f t="shared" si="241"/>
        <v>0.12010919017288443</v>
      </c>
      <c r="L84" s="99">
        <f t="shared" si="253"/>
        <v>396</v>
      </c>
      <c r="M84" s="174">
        <f t="shared" si="254"/>
        <v>8.6723999999999997</v>
      </c>
      <c r="N84" s="64">
        <f t="shared" si="255"/>
        <v>19.512899999999998</v>
      </c>
      <c r="O84" s="64">
        <f t="shared" si="256"/>
        <v>8.6723999999999997</v>
      </c>
      <c r="P84" s="64">
        <f t="shared" si="257"/>
        <v>1.73448</v>
      </c>
      <c r="Q84" s="64">
        <f t="shared" si="258"/>
        <v>0.28908</v>
      </c>
      <c r="R84" s="64">
        <f t="shared" si="259"/>
        <v>1.8790199999999999</v>
      </c>
      <c r="S84" s="64">
        <f t="shared" si="260"/>
        <v>3.1798799999999998</v>
      </c>
      <c r="T84" s="64">
        <f t="shared" si="261"/>
        <v>2.1680999999999999</v>
      </c>
      <c r="U84" s="64">
        <f t="shared" si="262"/>
        <v>0.43362000000000001</v>
      </c>
      <c r="V84" s="64">
        <f t="shared" si="263"/>
        <v>7.2270000000000001E-2</v>
      </c>
      <c r="W84" s="64">
        <f t="shared" si="264"/>
        <v>2.7462599999999999</v>
      </c>
      <c r="X84" s="64">
        <f t="shared" si="265"/>
        <v>4.6252800000000001</v>
      </c>
      <c r="Y84" s="64">
        <f t="shared" si="266"/>
        <v>2.1680999999999999</v>
      </c>
      <c r="Z84" s="64">
        <f t="shared" si="267"/>
        <v>0</v>
      </c>
      <c r="AA84" s="64">
        <f t="shared" si="268"/>
        <v>0</v>
      </c>
      <c r="AB84" s="64">
        <f t="shared" si="269"/>
        <v>4.0471199999999996</v>
      </c>
      <c r="AC84" s="64">
        <f t="shared" si="270"/>
        <v>11.707739999999999</v>
      </c>
      <c r="AD84" s="64">
        <f t="shared" si="271"/>
        <v>4.3361999999999998</v>
      </c>
      <c r="AE84" s="64">
        <f t="shared" si="272"/>
        <v>1.3008599999999999</v>
      </c>
      <c r="AF84" s="64">
        <f t="shared" si="273"/>
        <v>0.21681</v>
      </c>
      <c r="AG84" s="65">
        <f t="shared" si="274"/>
        <v>151.72319999999999</v>
      </c>
      <c r="AH84" s="65">
        <f t="shared" si="275"/>
        <v>341.37720000000002</v>
      </c>
      <c r="AI84" s="65">
        <f t="shared" si="276"/>
        <v>151.72319999999999</v>
      </c>
      <c r="AJ84" s="65">
        <f t="shared" si="277"/>
        <v>30.344639999999998</v>
      </c>
      <c r="AK84" s="65">
        <f t="shared" si="278"/>
        <v>5.0574399999999997</v>
      </c>
      <c r="AL84" s="66">
        <v>0.9</v>
      </c>
      <c r="AM84" s="66">
        <v>0.75</v>
      </c>
      <c r="AN84" s="66">
        <v>0.9</v>
      </c>
      <c r="AO84" s="66">
        <v>0.1</v>
      </c>
      <c r="AP84" s="66">
        <v>0.1</v>
      </c>
      <c r="AQ84" s="65">
        <f t="shared" si="279"/>
        <v>138.241998</v>
      </c>
      <c r="AR84" s="65">
        <f t="shared" si="280"/>
        <v>258.41781000000003</v>
      </c>
      <c r="AS84" s="65">
        <f t="shared" si="281"/>
        <v>138.50217000000001</v>
      </c>
      <c r="AT84" s="65">
        <f t="shared" si="282"/>
        <v>3.077826</v>
      </c>
      <c r="AU84" s="65">
        <f t="shared" si="283"/>
        <v>0.51297099999999995</v>
      </c>
      <c r="AV84" s="65">
        <f t="shared" si="284"/>
        <v>15.360221999999993</v>
      </c>
      <c r="AW84" s="65">
        <f t="shared" si="285"/>
        <v>86.13927000000001</v>
      </c>
      <c r="AX84" s="65">
        <f t="shared" si="286"/>
        <v>15.389129999999994</v>
      </c>
      <c r="AY84" s="65">
        <f t="shared" si="287"/>
        <v>27.700434000000001</v>
      </c>
      <c r="AZ84" s="65">
        <f t="shared" si="288"/>
        <v>4.616738999999999</v>
      </c>
      <c r="BA84" s="67">
        <f t="shared" si="289"/>
        <v>160.3956</v>
      </c>
      <c r="BB84" s="67">
        <f t="shared" si="290"/>
        <v>360.89010000000002</v>
      </c>
      <c r="BC84" s="67">
        <f t="shared" si="291"/>
        <v>160.3956</v>
      </c>
      <c r="BD84" s="68">
        <f t="shared" si="292"/>
        <v>32.079119999999996</v>
      </c>
      <c r="BE84" s="68">
        <f t="shared" si="293"/>
        <v>5.3465199999999999</v>
      </c>
      <c r="BF84" s="67">
        <f t="shared" si="294"/>
        <v>19.407341999999993</v>
      </c>
      <c r="BG84" s="67">
        <f t="shared" si="295"/>
        <v>97.847010000000012</v>
      </c>
      <c r="BH84" s="67">
        <f t="shared" si="296"/>
        <v>19.725329999999992</v>
      </c>
      <c r="BI84" s="68">
        <f t="shared" si="297"/>
        <v>29.001294000000001</v>
      </c>
      <c r="BJ84" s="68">
        <f t="shared" si="298"/>
        <v>4.8335489999999988</v>
      </c>
      <c r="BK84" s="67">
        <f t="shared" si="299"/>
        <v>140.988258</v>
      </c>
      <c r="BL84" s="67">
        <f t="shared" si="300"/>
        <v>263.04309000000001</v>
      </c>
      <c r="BM84" s="67">
        <f t="shared" si="301"/>
        <v>140.67027000000002</v>
      </c>
      <c r="BN84" s="68">
        <f t="shared" si="302"/>
        <v>3.077826</v>
      </c>
      <c r="BO84" s="187">
        <f t="shared" si="303"/>
        <v>0.51297099999999995</v>
      </c>
      <c r="BP84" s="157"/>
      <c r="BQ84" s="148"/>
      <c r="BR84" s="148"/>
      <c r="BS84" s="148"/>
      <c r="BT84" s="148"/>
      <c r="BU84" s="148"/>
      <c r="BV84" s="151">
        <f>256800+775600+111850</f>
        <v>1144250</v>
      </c>
      <c r="BW84" s="150">
        <f t="shared" si="321"/>
        <v>1201462.5</v>
      </c>
      <c r="BX84" s="150">
        <f t="shared" si="322"/>
        <v>1380480.41</v>
      </c>
      <c r="BY84" s="150">
        <f t="shared" si="323"/>
        <v>1386002.3299999998</v>
      </c>
      <c r="BZ84" s="155">
        <f t="shared" si="324"/>
        <v>1417880.38</v>
      </c>
      <c r="CA84" s="179">
        <f t="shared" si="324"/>
        <v>1450491.63</v>
      </c>
      <c r="CB84" s="203">
        <f t="shared" si="304"/>
        <v>137796.70484999998</v>
      </c>
      <c r="CC84" s="198">
        <f t="shared" si="325"/>
        <v>1483852.94</v>
      </c>
      <c r="CD84" s="206">
        <f t="shared" si="305"/>
        <v>140966.02929999999</v>
      </c>
      <c r="CE84" s="150">
        <f t="shared" si="326"/>
        <v>1517981.56</v>
      </c>
      <c r="CF84" s="206">
        <f t="shared" si="306"/>
        <v>144208.2482</v>
      </c>
      <c r="CG84" s="150">
        <f t="shared" si="327"/>
        <v>1552895.1400000001</v>
      </c>
      <c r="CH84" s="206">
        <f t="shared" si="307"/>
        <v>147525.03830000001</v>
      </c>
      <c r="CI84" s="150">
        <f t="shared" si="328"/>
        <v>1588611.7300000002</v>
      </c>
      <c r="CJ84" s="206">
        <f t="shared" si="308"/>
        <v>150918.11435000002</v>
      </c>
      <c r="CK84" s="150">
        <f t="shared" si="329"/>
        <v>1625149.8000000003</v>
      </c>
      <c r="CL84" s="206">
        <f t="shared" si="309"/>
        <v>154389.23100000003</v>
      </c>
      <c r="CM84" s="150">
        <f t="shared" si="330"/>
        <v>1662528.2500000002</v>
      </c>
      <c r="CN84" s="150">
        <f t="shared" si="331"/>
        <v>1700766.4000000001</v>
      </c>
      <c r="CO84" s="157"/>
      <c r="CP84" s="148"/>
      <c r="CQ84" s="148"/>
      <c r="CR84" s="148"/>
      <c r="CS84" s="148"/>
      <c r="CT84" s="148"/>
      <c r="CU84" s="151">
        <v>0</v>
      </c>
      <c r="CV84" s="150">
        <f t="shared" si="187"/>
        <v>0</v>
      </c>
      <c r="CW84" s="150">
        <f t="shared" ref="CW84:DG84" si="335">CV84+ROUND(CV84*CW$6,2)</f>
        <v>0</v>
      </c>
      <c r="CX84" s="150">
        <f t="shared" si="335"/>
        <v>0</v>
      </c>
      <c r="CY84" s="150">
        <f t="shared" si="335"/>
        <v>0</v>
      </c>
      <c r="CZ84" s="155">
        <f t="shared" si="335"/>
        <v>0</v>
      </c>
      <c r="DA84" s="155">
        <f t="shared" si="335"/>
        <v>0</v>
      </c>
      <c r="DB84" s="155">
        <f t="shared" si="335"/>
        <v>0</v>
      </c>
      <c r="DC84" s="155">
        <f t="shared" si="335"/>
        <v>0</v>
      </c>
      <c r="DD84" s="155">
        <f t="shared" si="335"/>
        <v>0</v>
      </c>
      <c r="DE84" s="155">
        <f t="shared" si="335"/>
        <v>0</v>
      </c>
      <c r="DF84" s="155">
        <f t="shared" si="335"/>
        <v>0</v>
      </c>
      <c r="DG84" s="155">
        <f t="shared" si="335"/>
        <v>0</v>
      </c>
      <c r="DH84" s="236">
        <v>0</v>
      </c>
      <c r="DI84" s="243">
        <f t="shared" si="311"/>
        <v>1450491.63</v>
      </c>
      <c r="DJ84" s="248">
        <f t="shared" si="312"/>
        <v>3662.8576515151512</v>
      </c>
      <c r="DK84" s="382">
        <f>CA84/'1.piel'!M83</f>
        <v>3662.8576515151512</v>
      </c>
      <c r="DL84">
        <f>DH84/'1.piel'!G83</f>
        <v>0</v>
      </c>
    </row>
    <row r="85" spans="2:116" x14ac:dyDescent="0.25">
      <c r="B85" s="52">
        <v>52</v>
      </c>
      <c r="C85" s="53" t="s">
        <v>94</v>
      </c>
      <c r="D85" s="40" t="s">
        <v>244</v>
      </c>
      <c r="E85" s="110">
        <v>3077</v>
      </c>
      <c r="F85" s="178">
        <v>5861</v>
      </c>
      <c r="G85" s="36">
        <v>833</v>
      </c>
      <c r="H85" s="99">
        <f t="shared" si="252"/>
        <v>6694</v>
      </c>
      <c r="I85" s="94">
        <f t="shared" si="240"/>
        <v>0.86060399249274866</v>
      </c>
      <c r="J85" s="89">
        <v>5044</v>
      </c>
      <c r="K85" s="98">
        <f t="shared" si="241"/>
        <v>0.13939600750725131</v>
      </c>
      <c r="L85" s="99">
        <f t="shared" si="253"/>
        <v>817</v>
      </c>
      <c r="M85" s="174">
        <f t="shared" si="254"/>
        <v>17.892299999999999</v>
      </c>
      <c r="N85" s="64">
        <f t="shared" si="255"/>
        <v>40.257674999999999</v>
      </c>
      <c r="O85" s="64">
        <f t="shared" si="256"/>
        <v>17.892299999999999</v>
      </c>
      <c r="P85" s="64">
        <f t="shared" si="257"/>
        <v>3.5784600000000002</v>
      </c>
      <c r="Q85" s="64">
        <f t="shared" si="258"/>
        <v>0.59641</v>
      </c>
      <c r="R85" s="64">
        <f t="shared" si="259"/>
        <v>3.876665</v>
      </c>
      <c r="S85" s="64">
        <f t="shared" si="260"/>
        <v>6.5605099999999998</v>
      </c>
      <c r="T85" s="64">
        <f t="shared" si="261"/>
        <v>4.4730749999999997</v>
      </c>
      <c r="U85" s="64">
        <f t="shared" si="262"/>
        <v>0.89461500000000005</v>
      </c>
      <c r="V85" s="64">
        <f t="shared" si="263"/>
        <v>0.1491025</v>
      </c>
      <c r="W85" s="64">
        <f t="shared" si="264"/>
        <v>5.6658949999999999</v>
      </c>
      <c r="X85" s="64">
        <f t="shared" si="265"/>
        <v>9.5425599999999999</v>
      </c>
      <c r="Y85" s="64">
        <f t="shared" si="266"/>
        <v>4.4730749999999997</v>
      </c>
      <c r="Z85" s="64">
        <f t="shared" si="267"/>
        <v>0</v>
      </c>
      <c r="AA85" s="64">
        <f t="shared" si="268"/>
        <v>0</v>
      </c>
      <c r="AB85" s="64">
        <f t="shared" si="269"/>
        <v>8.3497400000000006</v>
      </c>
      <c r="AC85" s="64">
        <f t="shared" si="270"/>
        <v>24.154605</v>
      </c>
      <c r="AD85" s="64">
        <f t="shared" si="271"/>
        <v>8.9461499999999994</v>
      </c>
      <c r="AE85" s="64">
        <f t="shared" si="272"/>
        <v>2.6838449999999998</v>
      </c>
      <c r="AF85" s="64">
        <f t="shared" si="273"/>
        <v>0.44730750000000002</v>
      </c>
      <c r="AG85" s="65">
        <f t="shared" si="274"/>
        <v>128.7063</v>
      </c>
      <c r="AH85" s="65">
        <f t="shared" si="275"/>
        <v>289.58917500000001</v>
      </c>
      <c r="AI85" s="65">
        <f t="shared" si="276"/>
        <v>128.7063</v>
      </c>
      <c r="AJ85" s="65">
        <f t="shared" si="277"/>
        <v>25.74126</v>
      </c>
      <c r="AK85" s="65">
        <f t="shared" si="278"/>
        <v>4.2902100000000001</v>
      </c>
      <c r="AL85" s="66">
        <v>0.9</v>
      </c>
      <c r="AM85" s="66">
        <v>0.75</v>
      </c>
      <c r="AN85" s="66">
        <v>0.9</v>
      </c>
      <c r="AO85" s="66">
        <v>0.1</v>
      </c>
      <c r="AP85" s="66">
        <v>0.1</v>
      </c>
      <c r="AQ85" s="65">
        <f t="shared" si="279"/>
        <v>119.3246685</v>
      </c>
      <c r="AR85" s="65">
        <f t="shared" si="280"/>
        <v>222.11226375000001</v>
      </c>
      <c r="AS85" s="65">
        <f t="shared" si="281"/>
        <v>119.86143749999999</v>
      </c>
      <c r="AT85" s="65">
        <f t="shared" si="282"/>
        <v>2.6635875000000002</v>
      </c>
      <c r="AU85" s="65">
        <f t="shared" si="283"/>
        <v>0.44393125</v>
      </c>
      <c r="AV85" s="65">
        <f t="shared" si="284"/>
        <v>13.2582965</v>
      </c>
      <c r="AW85" s="65">
        <f t="shared" si="285"/>
        <v>74.037421250000023</v>
      </c>
      <c r="AX85" s="65">
        <f t="shared" si="286"/>
        <v>13.317937499999999</v>
      </c>
      <c r="AY85" s="65">
        <f t="shared" si="287"/>
        <v>23.9722875</v>
      </c>
      <c r="AZ85" s="65">
        <f t="shared" si="288"/>
        <v>3.9953812499999999</v>
      </c>
      <c r="BA85" s="67">
        <f t="shared" si="289"/>
        <v>146.5986</v>
      </c>
      <c r="BB85" s="67">
        <f t="shared" si="290"/>
        <v>329.84685000000002</v>
      </c>
      <c r="BC85" s="67">
        <f t="shared" si="291"/>
        <v>146.5986</v>
      </c>
      <c r="BD85" s="68">
        <f t="shared" si="292"/>
        <v>29.31972</v>
      </c>
      <c r="BE85" s="68">
        <f t="shared" si="293"/>
        <v>4.8866199999999997</v>
      </c>
      <c r="BF85" s="67">
        <f t="shared" si="294"/>
        <v>21.608036500000001</v>
      </c>
      <c r="BG85" s="67">
        <f t="shared" si="295"/>
        <v>98.192026250000026</v>
      </c>
      <c r="BH85" s="67">
        <f t="shared" si="296"/>
        <v>22.264087499999999</v>
      </c>
      <c r="BI85" s="68">
        <f t="shared" si="297"/>
        <v>26.656132499999998</v>
      </c>
      <c r="BJ85" s="68">
        <f t="shared" si="298"/>
        <v>4.4426887500000003</v>
      </c>
      <c r="BK85" s="67">
        <f t="shared" si="299"/>
        <v>124.99056350000001</v>
      </c>
      <c r="BL85" s="67">
        <f t="shared" si="300"/>
        <v>231.65482375000002</v>
      </c>
      <c r="BM85" s="67">
        <f t="shared" si="301"/>
        <v>124.33451249999999</v>
      </c>
      <c r="BN85" s="68">
        <f t="shared" si="302"/>
        <v>2.6635875000000002</v>
      </c>
      <c r="BO85" s="187">
        <f t="shared" si="303"/>
        <v>0.44393125</v>
      </c>
      <c r="BP85" s="157"/>
      <c r="BQ85" s="148"/>
      <c r="BR85" s="148"/>
      <c r="BS85" s="148"/>
      <c r="BT85" s="148"/>
      <c r="BU85" s="150"/>
      <c r="BV85" s="151">
        <v>650460</v>
      </c>
      <c r="BW85" s="150">
        <f t="shared" si="321"/>
        <v>682983</v>
      </c>
      <c r="BX85" s="150">
        <f t="shared" si="322"/>
        <v>784747.47</v>
      </c>
      <c r="BY85" s="150">
        <f t="shared" si="323"/>
        <v>787886.46</v>
      </c>
      <c r="BZ85" s="155">
        <f t="shared" si="324"/>
        <v>806007.85</v>
      </c>
      <c r="CA85" s="179">
        <f>BZ85+ROUND(BZ85*$BZ$6,2)+DH85</f>
        <v>2789435.8499999996</v>
      </c>
      <c r="CB85" s="203">
        <f t="shared" si="304"/>
        <v>264996.40574999998</v>
      </c>
      <c r="CC85" s="198">
        <f t="shared" si="325"/>
        <v>2853592.8699999996</v>
      </c>
      <c r="CD85" s="206">
        <f t="shared" si="305"/>
        <v>271091.32264999999</v>
      </c>
      <c r="CE85" s="150">
        <f t="shared" si="326"/>
        <v>2919225.51</v>
      </c>
      <c r="CF85" s="206">
        <f t="shared" si="306"/>
        <v>277326.42345</v>
      </c>
      <c r="CG85" s="150">
        <f t="shared" si="327"/>
        <v>2986367.6999999997</v>
      </c>
      <c r="CH85" s="206">
        <f t="shared" si="307"/>
        <v>283704.93149999995</v>
      </c>
      <c r="CI85" s="150">
        <f t="shared" si="328"/>
        <v>3055054.1599999997</v>
      </c>
      <c r="CJ85" s="206">
        <f t="shared" si="308"/>
        <v>290230.14519999997</v>
      </c>
      <c r="CK85" s="150">
        <f t="shared" si="329"/>
        <v>3125320.4099999997</v>
      </c>
      <c r="CL85" s="206">
        <f t="shared" si="309"/>
        <v>296905.43894999998</v>
      </c>
      <c r="CM85" s="150">
        <f t="shared" si="330"/>
        <v>3197202.78</v>
      </c>
      <c r="CN85" s="150">
        <f t="shared" si="331"/>
        <v>3270738.44</v>
      </c>
      <c r="CO85" s="157"/>
      <c r="CP85" s="148"/>
      <c r="CQ85" s="148"/>
      <c r="CR85" s="148"/>
      <c r="CS85" s="148"/>
      <c r="CT85" s="148"/>
      <c r="CU85" s="151">
        <v>0</v>
      </c>
      <c r="CV85" s="150">
        <f t="shared" si="187"/>
        <v>0</v>
      </c>
      <c r="CW85" s="150">
        <f t="shared" ref="CW85:DG85" si="336">CV85+ROUND(CV85*CW$6,2)</f>
        <v>0</v>
      </c>
      <c r="CX85" s="150">
        <f t="shared" si="336"/>
        <v>0</v>
      </c>
      <c r="CY85" s="150">
        <f t="shared" si="336"/>
        <v>0</v>
      </c>
      <c r="CZ85" s="155">
        <f t="shared" si="336"/>
        <v>0</v>
      </c>
      <c r="DA85" s="155">
        <f t="shared" si="336"/>
        <v>0</v>
      </c>
      <c r="DB85" s="155">
        <f t="shared" si="336"/>
        <v>0</v>
      </c>
      <c r="DC85" s="155">
        <f t="shared" si="336"/>
        <v>0</v>
      </c>
      <c r="DD85" s="155">
        <f t="shared" si="336"/>
        <v>0</v>
      </c>
      <c r="DE85" s="155">
        <f t="shared" si="336"/>
        <v>0</v>
      </c>
      <c r="DF85" s="155">
        <f t="shared" si="336"/>
        <v>0</v>
      </c>
      <c r="DG85" s="155">
        <f t="shared" si="336"/>
        <v>0</v>
      </c>
      <c r="DH85" s="400">
        <f>DM28*'1.piel'!I84</f>
        <v>1964889.8199999998</v>
      </c>
      <c r="DI85" s="243">
        <f>SUM(CA85,DH85)-DH85</f>
        <v>2789435.85</v>
      </c>
      <c r="DJ85" s="248">
        <f t="shared" si="312"/>
        <v>1344.484487270063</v>
      </c>
      <c r="DK85" s="382">
        <f>(CA85-DH85)/'1.piel'!M84</f>
        <v>1009.2362668298651</v>
      </c>
      <c r="DL85">
        <f>DH85/'1.piel'!G84</f>
        <v>335.24822044019788</v>
      </c>
    </row>
    <row r="86" spans="2:116" x14ac:dyDescent="0.25">
      <c r="B86" s="52">
        <v>56</v>
      </c>
      <c r="C86" s="53" t="s">
        <v>102</v>
      </c>
      <c r="D86" s="40" t="s">
        <v>244</v>
      </c>
      <c r="E86" s="110">
        <v>2854</v>
      </c>
      <c r="F86" s="178">
        <v>2888</v>
      </c>
      <c r="G86" s="36">
        <v>0</v>
      </c>
      <c r="H86" s="99">
        <f t="shared" si="252"/>
        <v>2888</v>
      </c>
      <c r="I86" s="94">
        <f t="shared" si="240"/>
        <v>1</v>
      </c>
      <c r="J86" s="89">
        <v>2888</v>
      </c>
      <c r="K86" s="98">
        <f t="shared" si="241"/>
        <v>0</v>
      </c>
      <c r="L86" s="99">
        <f t="shared" si="253"/>
        <v>0</v>
      </c>
      <c r="M86" s="174">
        <f t="shared" si="254"/>
        <v>0</v>
      </c>
      <c r="N86" s="64">
        <f t="shared" si="255"/>
        <v>0</v>
      </c>
      <c r="O86" s="64">
        <f t="shared" si="256"/>
        <v>0</v>
      </c>
      <c r="P86" s="64">
        <f t="shared" si="257"/>
        <v>0</v>
      </c>
      <c r="Q86" s="64">
        <f t="shared" si="258"/>
        <v>0</v>
      </c>
      <c r="R86" s="64">
        <f t="shared" si="259"/>
        <v>0</v>
      </c>
      <c r="S86" s="64">
        <f t="shared" si="260"/>
        <v>0</v>
      </c>
      <c r="T86" s="64">
        <f t="shared" si="261"/>
        <v>0</v>
      </c>
      <c r="U86" s="64">
        <f t="shared" si="262"/>
        <v>0</v>
      </c>
      <c r="V86" s="64">
        <f t="shared" si="263"/>
        <v>0</v>
      </c>
      <c r="W86" s="64">
        <f t="shared" si="264"/>
        <v>0</v>
      </c>
      <c r="X86" s="64">
        <f t="shared" si="265"/>
        <v>0</v>
      </c>
      <c r="Y86" s="64">
        <f t="shared" si="266"/>
        <v>0</v>
      </c>
      <c r="Z86" s="64">
        <f t="shared" si="267"/>
        <v>0</v>
      </c>
      <c r="AA86" s="64">
        <f t="shared" si="268"/>
        <v>0</v>
      </c>
      <c r="AB86" s="64">
        <f t="shared" si="269"/>
        <v>0</v>
      </c>
      <c r="AC86" s="64">
        <f t="shared" si="270"/>
        <v>0</v>
      </c>
      <c r="AD86" s="64">
        <f t="shared" si="271"/>
        <v>0</v>
      </c>
      <c r="AE86" s="64">
        <f t="shared" si="272"/>
        <v>0</v>
      </c>
      <c r="AF86" s="64">
        <f t="shared" si="273"/>
        <v>0</v>
      </c>
      <c r="AG86" s="65">
        <f t="shared" si="274"/>
        <v>63.247199999999999</v>
      </c>
      <c r="AH86" s="65">
        <f t="shared" si="275"/>
        <v>142.30619999999999</v>
      </c>
      <c r="AI86" s="65">
        <f t="shared" si="276"/>
        <v>63.247199999999999</v>
      </c>
      <c r="AJ86" s="65">
        <f t="shared" si="277"/>
        <v>12.64944</v>
      </c>
      <c r="AK86" s="65">
        <f t="shared" si="278"/>
        <v>2.1082399999999999</v>
      </c>
      <c r="AL86" s="66">
        <v>0.9</v>
      </c>
      <c r="AM86" s="66">
        <v>0.75</v>
      </c>
      <c r="AN86" s="66">
        <v>0.9</v>
      </c>
      <c r="AO86" s="66">
        <v>0.1</v>
      </c>
      <c r="AP86" s="66">
        <v>0.1</v>
      </c>
      <c r="AQ86" s="65">
        <f t="shared" si="279"/>
        <v>56.92248</v>
      </c>
      <c r="AR86" s="65">
        <f t="shared" si="280"/>
        <v>106.72964999999999</v>
      </c>
      <c r="AS86" s="65">
        <f t="shared" si="281"/>
        <v>56.92248</v>
      </c>
      <c r="AT86" s="65">
        <f t="shared" si="282"/>
        <v>1.2649440000000001</v>
      </c>
      <c r="AU86" s="65">
        <f t="shared" si="283"/>
        <v>0.21082400000000001</v>
      </c>
      <c r="AV86" s="65">
        <f t="shared" si="284"/>
        <v>6.3247199999999992</v>
      </c>
      <c r="AW86" s="65">
        <f t="shared" si="285"/>
        <v>35.576549999999997</v>
      </c>
      <c r="AX86" s="65">
        <f t="shared" si="286"/>
        <v>6.3247199999999992</v>
      </c>
      <c r="AY86" s="65">
        <f t="shared" si="287"/>
        <v>11.384496</v>
      </c>
      <c r="AZ86" s="65">
        <f t="shared" si="288"/>
        <v>1.8974159999999998</v>
      </c>
      <c r="BA86" s="67">
        <f t="shared" si="289"/>
        <v>63.247199999999999</v>
      </c>
      <c r="BB86" s="67">
        <f t="shared" si="290"/>
        <v>142.30619999999999</v>
      </c>
      <c r="BC86" s="67">
        <f t="shared" si="291"/>
        <v>63.247199999999999</v>
      </c>
      <c r="BD86" s="68">
        <f t="shared" si="292"/>
        <v>12.64944</v>
      </c>
      <c r="BE86" s="68">
        <f t="shared" si="293"/>
        <v>2.1082399999999999</v>
      </c>
      <c r="BF86" s="67">
        <f t="shared" si="294"/>
        <v>6.3247199999999992</v>
      </c>
      <c r="BG86" s="67">
        <f t="shared" si="295"/>
        <v>35.576549999999997</v>
      </c>
      <c r="BH86" s="67">
        <f t="shared" si="296"/>
        <v>6.3247199999999992</v>
      </c>
      <c r="BI86" s="68">
        <f t="shared" si="297"/>
        <v>11.384496</v>
      </c>
      <c r="BJ86" s="68">
        <f t="shared" si="298"/>
        <v>1.8974159999999998</v>
      </c>
      <c r="BK86" s="67">
        <f t="shared" si="299"/>
        <v>56.92248</v>
      </c>
      <c r="BL86" s="67">
        <f t="shared" si="300"/>
        <v>106.72964999999999</v>
      </c>
      <c r="BM86" s="67">
        <f t="shared" si="301"/>
        <v>56.92248</v>
      </c>
      <c r="BN86" s="68">
        <f t="shared" si="302"/>
        <v>1.2649440000000001</v>
      </c>
      <c r="BO86" s="187">
        <f t="shared" si="303"/>
        <v>0.21082400000000001</v>
      </c>
      <c r="BP86" s="157"/>
      <c r="BQ86" s="148"/>
      <c r="BR86" s="148"/>
      <c r="BS86" s="148"/>
      <c r="BT86" s="148"/>
      <c r="BU86" s="150"/>
      <c r="BV86" s="151">
        <v>0</v>
      </c>
      <c r="BW86" s="150">
        <f t="shared" si="321"/>
        <v>0</v>
      </c>
      <c r="BX86" s="150">
        <f t="shared" si="322"/>
        <v>0</v>
      </c>
      <c r="BY86" s="150">
        <f t="shared" si="323"/>
        <v>0</v>
      </c>
      <c r="BZ86" s="155">
        <f t="shared" si="324"/>
        <v>0</v>
      </c>
      <c r="CA86" s="179">
        <f>BZ86+ROUND(BZ86*$BZ$6,2)+DH86</f>
        <v>847714.6399999999</v>
      </c>
      <c r="CB86" s="203">
        <f t="shared" si="304"/>
        <v>80532.890799999994</v>
      </c>
      <c r="CC86" s="198">
        <f t="shared" si="325"/>
        <v>867212.07999999984</v>
      </c>
      <c r="CD86" s="206">
        <f t="shared" si="305"/>
        <v>82385.147599999982</v>
      </c>
      <c r="CE86" s="150">
        <f t="shared" si="326"/>
        <v>887157.95999999985</v>
      </c>
      <c r="CF86" s="206">
        <f t="shared" si="306"/>
        <v>84280.006199999989</v>
      </c>
      <c r="CG86" s="150">
        <f t="shared" si="327"/>
        <v>907562.58999999985</v>
      </c>
      <c r="CH86" s="206">
        <f t="shared" si="307"/>
        <v>86218.446049999984</v>
      </c>
      <c r="CI86" s="150">
        <f t="shared" si="328"/>
        <v>928436.5299999998</v>
      </c>
      <c r="CJ86" s="206">
        <f t="shared" si="308"/>
        <v>88201.470349999989</v>
      </c>
      <c r="CK86" s="150">
        <f t="shared" si="329"/>
        <v>949790.56999999983</v>
      </c>
      <c r="CL86" s="206">
        <f t="shared" si="309"/>
        <v>90230.104149999985</v>
      </c>
      <c r="CM86" s="150">
        <f t="shared" si="330"/>
        <v>971635.74999999988</v>
      </c>
      <c r="CN86" s="150">
        <f t="shared" si="331"/>
        <v>993983.36999999988</v>
      </c>
      <c r="CO86" s="157"/>
      <c r="CP86" s="148"/>
      <c r="CQ86" s="148"/>
      <c r="CR86" s="148"/>
      <c r="CS86" s="148"/>
      <c r="CT86" s="148"/>
      <c r="CU86" s="151">
        <v>0</v>
      </c>
      <c r="CV86" s="150">
        <f t="shared" si="187"/>
        <v>0</v>
      </c>
      <c r="CW86" s="150">
        <f t="shared" ref="CW86:DG86" si="337">CV86+ROUND(CV86*CW$6,2)</f>
        <v>0</v>
      </c>
      <c r="CX86" s="150">
        <f t="shared" si="337"/>
        <v>0</v>
      </c>
      <c r="CY86" s="150">
        <f t="shared" si="337"/>
        <v>0</v>
      </c>
      <c r="CZ86" s="155">
        <f t="shared" si="337"/>
        <v>0</v>
      </c>
      <c r="DA86" s="155">
        <f t="shared" si="337"/>
        <v>0</v>
      </c>
      <c r="DB86" s="155">
        <f t="shared" si="337"/>
        <v>0</v>
      </c>
      <c r="DC86" s="155">
        <f t="shared" si="337"/>
        <v>0</v>
      </c>
      <c r="DD86" s="155">
        <f t="shared" si="337"/>
        <v>0</v>
      </c>
      <c r="DE86" s="155">
        <f t="shared" si="337"/>
        <v>0</v>
      </c>
      <c r="DF86" s="155">
        <f t="shared" si="337"/>
        <v>0</v>
      </c>
      <c r="DG86" s="155">
        <f t="shared" si="337"/>
        <v>0</v>
      </c>
      <c r="DH86" s="400">
        <f>DM28*'1.piel'!I85</f>
        <v>847714.6399999999</v>
      </c>
      <c r="DI86" s="243">
        <f>SUM(CA86,DH86)-DH86</f>
        <v>847714.6399999999</v>
      </c>
      <c r="DJ86" s="248">
        <f t="shared" si="312"/>
        <v>293.52999999999997</v>
      </c>
      <c r="DK86" s="382">
        <v>0</v>
      </c>
      <c r="DL86">
        <f>DH86/'1.piel'!G85</f>
        <v>293.52999999999997</v>
      </c>
    </row>
    <row r="87" spans="2:116" s="3" customFormat="1" ht="15.75" x14ac:dyDescent="0.25">
      <c r="B87" s="515" t="s">
        <v>370</v>
      </c>
      <c r="C87" s="516"/>
      <c r="D87" s="516"/>
      <c r="E87" s="516"/>
      <c r="F87" s="516"/>
      <c r="G87" s="516"/>
      <c r="H87" s="516"/>
      <c r="I87" s="516"/>
      <c r="J87" s="516"/>
      <c r="K87" s="516"/>
      <c r="L87" s="517"/>
      <c r="M87" s="372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373"/>
      <c r="AM87" s="373"/>
      <c r="AN87" s="373"/>
      <c r="AO87" s="373"/>
      <c r="AP87" s="373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374"/>
      <c r="BB87" s="374"/>
      <c r="BC87" s="374"/>
      <c r="BD87" s="375"/>
      <c r="BE87" s="375"/>
      <c r="BF87" s="374"/>
      <c r="BG87" s="374"/>
      <c r="BH87" s="374"/>
      <c r="BI87" s="375"/>
      <c r="BJ87" s="375"/>
      <c r="BK87" s="374"/>
      <c r="BL87" s="374"/>
      <c r="BM87" s="374"/>
      <c r="BN87" s="375"/>
      <c r="BO87" s="376"/>
      <c r="BP87" s="377"/>
      <c r="BQ87" s="375"/>
      <c r="BR87" s="375"/>
      <c r="BS87" s="375"/>
      <c r="BT87" s="375"/>
      <c r="BU87" s="69"/>
      <c r="BV87" s="69"/>
      <c r="BW87" s="69"/>
      <c r="BX87" s="69"/>
      <c r="BY87" s="69"/>
      <c r="BZ87" s="104"/>
      <c r="CA87" s="383">
        <f>SUM(CA79:CA86)</f>
        <v>27960688.269999996</v>
      </c>
      <c r="CB87" s="383">
        <f t="shared" ref="CB87:CH87" si="338">SUM(CB79:CB86)</f>
        <v>2656265.3856500001</v>
      </c>
      <c r="CC87" s="383">
        <f t="shared" si="338"/>
        <v>28636149.350000001</v>
      </c>
      <c r="CD87" s="383">
        <f t="shared" si="338"/>
        <v>2720434.1882499997</v>
      </c>
      <c r="CE87" s="383">
        <f t="shared" si="338"/>
        <v>29327955.170000002</v>
      </c>
      <c r="CF87" s="383">
        <f t="shared" si="338"/>
        <v>2786155.7411500001</v>
      </c>
      <c r="CG87" s="383">
        <f t="shared" si="338"/>
        <v>30036501.889999997</v>
      </c>
      <c r="CH87" s="383">
        <f t="shared" si="338"/>
        <v>2853467.67955</v>
      </c>
      <c r="CI87" s="383">
        <f>SUM(CI79:CI86)</f>
        <v>30762195.280000001</v>
      </c>
      <c r="CJ87" s="383">
        <f t="shared" ref="CJ87" si="339">SUM(CJ79:CJ86)</f>
        <v>2922408.5516000004</v>
      </c>
      <c r="CK87" s="383">
        <f t="shared" ref="CK87" si="340">SUM(CK79:CK86)</f>
        <v>31505450.960000005</v>
      </c>
      <c r="CL87" s="383">
        <f t="shared" ref="CL87" si="341">SUM(CL79:CL86)</f>
        <v>2993017.8412000001</v>
      </c>
      <c r="CM87" s="383">
        <f t="shared" ref="CM87" si="342">SUM(CM79:CM86)</f>
        <v>32266694.640000004</v>
      </c>
      <c r="CN87" s="383">
        <f>SUM(CN79:CN86)</f>
        <v>33046362.380000006</v>
      </c>
      <c r="CO87" s="377"/>
      <c r="CP87" s="375"/>
      <c r="CQ87" s="375"/>
      <c r="CR87" s="375"/>
      <c r="CS87" s="375"/>
      <c r="CT87" s="375"/>
      <c r="CU87" s="69"/>
      <c r="CV87" s="69"/>
      <c r="CW87" s="69"/>
      <c r="CX87" s="69"/>
      <c r="CY87" s="69"/>
      <c r="CZ87" s="384">
        <f>SUM(CZ79:CZ86)</f>
        <v>21352731.16</v>
      </c>
      <c r="DA87" s="384">
        <f t="shared" ref="DA87:DD87" si="343">SUM(DA79:DA86)</f>
        <v>21886549.439999998</v>
      </c>
      <c r="DB87" s="384">
        <f t="shared" si="343"/>
        <v>22433713.18</v>
      </c>
      <c r="DC87" s="384">
        <f t="shared" si="343"/>
        <v>22994556.009999998</v>
      </c>
      <c r="DD87" s="384">
        <f t="shared" si="343"/>
        <v>23569419.91</v>
      </c>
      <c r="DE87" s="384">
        <f>SUM(DE79:DE86)</f>
        <v>24158655.41</v>
      </c>
      <c r="DF87" s="384">
        <f t="shared" ref="DF87" si="344">SUM(DF79:DF86)</f>
        <v>24762621.790000003</v>
      </c>
      <c r="DG87" s="384">
        <f t="shared" ref="DG87" si="345">SUM(DG79:DG86)</f>
        <v>25381687.34</v>
      </c>
      <c r="DH87" s="237"/>
      <c r="DI87" s="379"/>
      <c r="DJ87" s="380"/>
      <c r="DK87" s="382"/>
    </row>
    <row r="88" spans="2:116" s="3" customFormat="1" ht="21.75" thickBot="1" x14ac:dyDescent="0.4">
      <c r="B88" s="512" t="s">
        <v>366</v>
      </c>
      <c r="C88" s="513"/>
      <c r="D88" s="513"/>
      <c r="E88" s="513"/>
      <c r="F88" s="513"/>
      <c r="G88" s="513"/>
      <c r="H88" s="513"/>
      <c r="I88" s="513"/>
      <c r="J88" s="513"/>
      <c r="K88" s="513"/>
      <c r="L88" s="514"/>
      <c r="M88" s="372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373"/>
      <c r="AM88" s="373"/>
      <c r="AN88" s="373"/>
      <c r="AO88" s="373"/>
      <c r="AP88" s="373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374"/>
      <c r="BB88" s="374"/>
      <c r="BC88" s="374"/>
      <c r="BD88" s="375"/>
      <c r="BE88" s="375"/>
      <c r="BF88" s="374"/>
      <c r="BG88" s="374"/>
      <c r="BH88" s="374"/>
      <c r="BI88" s="375"/>
      <c r="BJ88" s="375"/>
      <c r="BK88" s="374"/>
      <c r="BL88" s="374"/>
      <c r="BM88" s="374"/>
      <c r="BN88" s="375"/>
      <c r="BO88" s="376"/>
      <c r="BP88" s="377"/>
      <c r="BQ88" s="375"/>
      <c r="BR88" s="375"/>
      <c r="BS88" s="375"/>
      <c r="BT88" s="375"/>
      <c r="BU88" s="69"/>
      <c r="BV88" s="69"/>
      <c r="BW88" s="69"/>
      <c r="BX88" s="69"/>
      <c r="BY88" s="69"/>
      <c r="BZ88" s="104"/>
      <c r="CA88" s="179"/>
      <c r="CB88" s="335"/>
      <c r="CC88" s="119"/>
      <c r="CD88" s="378"/>
      <c r="CE88" s="69"/>
      <c r="CF88" s="378"/>
      <c r="CG88" s="69"/>
      <c r="CH88" s="378"/>
      <c r="CI88" s="69"/>
      <c r="CJ88" s="378"/>
      <c r="CK88" s="69"/>
      <c r="CL88" s="378"/>
      <c r="CM88" s="69"/>
      <c r="CN88" s="69"/>
      <c r="CO88" s="377"/>
      <c r="CP88" s="375"/>
      <c r="CQ88" s="375"/>
      <c r="CR88" s="375"/>
      <c r="CS88" s="375"/>
      <c r="CT88" s="375"/>
      <c r="CU88" s="69"/>
      <c r="CV88" s="69"/>
      <c r="CW88" s="69"/>
      <c r="CX88" s="69"/>
      <c r="CY88" s="69"/>
      <c r="CZ88" s="104"/>
      <c r="DA88" s="104"/>
      <c r="DB88" s="104"/>
      <c r="DC88" s="104"/>
      <c r="DD88" s="104"/>
      <c r="DE88" s="104"/>
      <c r="DF88" s="104"/>
      <c r="DG88" s="104"/>
      <c r="DH88" s="237"/>
      <c r="DI88" s="379"/>
      <c r="DJ88" s="380"/>
      <c r="DK88" s="382"/>
    </row>
    <row r="89" spans="2:116" x14ac:dyDescent="0.25">
      <c r="B89" s="52">
        <v>11</v>
      </c>
      <c r="C89" s="53" t="s">
        <v>54</v>
      </c>
      <c r="D89" s="36" t="s">
        <v>270</v>
      </c>
      <c r="E89" s="110">
        <v>18053</v>
      </c>
      <c r="F89" s="178">
        <v>19712</v>
      </c>
      <c r="G89" s="63">
        <v>5104</v>
      </c>
      <c r="H89" s="99">
        <f t="shared" si="252"/>
        <v>24816</v>
      </c>
      <c r="I89" s="94">
        <f t="shared" si="240"/>
        <v>0.99619521103896103</v>
      </c>
      <c r="J89" s="89">
        <v>19637</v>
      </c>
      <c r="K89" s="98">
        <f t="shared" si="241"/>
        <v>3.804788961038961E-3</v>
      </c>
      <c r="L89" s="99">
        <f t="shared" si="253"/>
        <v>75</v>
      </c>
      <c r="M89" s="174">
        <f t="shared" si="254"/>
        <v>1.6425000000000001</v>
      </c>
      <c r="N89" s="64">
        <f t="shared" si="255"/>
        <v>3.6956250000000002</v>
      </c>
      <c r="O89" s="64">
        <f t="shared" si="256"/>
        <v>1.6425000000000001</v>
      </c>
      <c r="P89" s="64">
        <f t="shared" si="257"/>
        <v>0.32850000000000001</v>
      </c>
      <c r="Q89" s="64">
        <f t="shared" si="258"/>
        <v>5.475E-2</v>
      </c>
      <c r="R89" s="64">
        <f t="shared" si="259"/>
        <v>0.355875</v>
      </c>
      <c r="S89" s="64">
        <f t="shared" si="260"/>
        <v>0.60224999999999995</v>
      </c>
      <c r="T89" s="64">
        <f t="shared" si="261"/>
        <v>0.41062500000000002</v>
      </c>
      <c r="U89" s="64">
        <f t="shared" si="262"/>
        <v>8.2125000000000004E-2</v>
      </c>
      <c r="V89" s="64">
        <f t="shared" si="263"/>
        <v>1.36875E-2</v>
      </c>
      <c r="W89" s="64">
        <f t="shared" si="264"/>
        <v>0.52012499999999995</v>
      </c>
      <c r="X89" s="64">
        <f t="shared" si="265"/>
        <v>0.876</v>
      </c>
      <c r="Y89" s="64">
        <f t="shared" si="266"/>
        <v>0.41062500000000002</v>
      </c>
      <c r="Z89" s="64">
        <f t="shared" si="267"/>
        <v>0</v>
      </c>
      <c r="AA89" s="64">
        <f t="shared" si="268"/>
        <v>0</v>
      </c>
      <c r="AB89" s="64">
        <f t="shared" si="269"/>
        <v>0.76649999999999996</v>
      </c>
      <c r="AC89" s="64">
        <f t="shared" si="270"/>
        <v>2.2173750000000001</v>
      </c>
      <c r="AD89" s="64">
        <f t="shared" si="271"/>
        <v>0.82125000000000004</v>
      </c>
      <c r="AE89" s="64">
        <f t="shared" si="272"/>
        <v>0.24637500000000001</v>
      </c>
      <c r="AF89" s="64">
        <f t="shared" si="273"/>
        <v>4.1062500000000002E-2</v>
      </c>
      <c r="AG89" s="65">
        <f t="shared" si="274"/>
        <v>541.8279</v>
      </c>
      <c r="AH89" s="65">
        <f t="shared" si="275"/>
        <v>1219.1127750000001</v>
      </c>
      <c r="AI89" s="65">
        <f t="shared" si="276"/>
        <v>541.8279</v>
      </c>
      <c r="AJ89" s="65">
        <f t="shared" si="277"/>
        <v>108.36557999999999</v>
      </c>
      <c r="AK89" s="65">
        <f t="shared" si="278"/>
        <v>18.060929999999999</v>
      </c>
      <c r="AL89" s="66">
        <v>0.9</v>
      </c>
      <c r="AM89" s="66">
        <v>0.75</v>
      </c>
      <c r="AN89" s="66">
        <v>0.9</v>
      </c>
      <c r="AO89" s="66">
        <v>0.1</v>
      </c>
      <c r="AP89" s="66">
        <v>0.1</v>
      </c>
      <c r="AQ89" s="65">
        <f t="shared" si="279"/>
        <v>487.96539749999999</v>
      </c>
      <c r="AR89" s="65">
        <f t="shared" si="280"/>
        <v>914.78626874999998</v>
      </c>
      <c r="AS89" s="65">
        <f t="shared" si="281"/>
        <v>488.01467250000002</v>
      </c>
      <c r="AT89" s="65">
        <f t="shared" si="282"/>
        <v>10.844770500000001</v>
      </c>
      <c r="AU89" s="65">
        <f t="shared" si="283"/>
        <v>1.8074617499999999</v>
      </c>
      <c r="AV89" s="65">
        <f t="shared" si="284"/>
        <v>54.218377499999974</v>
      </c>
      <c r="AW89" s="65">
        <f t="shared" si="285"/>
        <v>304.92875624999999</v>
      </c>
      <c r="AX89" s="65">
        <f t="shared" si="286"/>
        <v>54.223852499999964</v>
      </c>
      <c r="AY89" s="65">
        <f t="shared" si="287"/>
        <v>97.602934500000003</v>
      </c>
      <c r="AZ89" s="65">
        <f t="shared" si="288"/>
        <v>16.267155750000001</v>
      </c>
      <c r="BA89" s="67">
        <f t="shared" si="289"/>
        <v>543.47040000000004</v>
      </c>
      <c r="BB89" s="67">
        <f t="shared" si="290"/>
        <v>1222.8084000000001</v>
      </c>
      <c r="BC89" s="67">
        <f t="shared" si="291"/>
        <v>543.47040000000004</v>
      </c>
      <c r="BD89" s="68">
        <f t="shared" si="292"/>
        <v>108.69408</v>
      </c>
      <c r="BE89" s="68">
        <f t="shared" si="293"/>
        <v>18.115679999999998</v>
      </c>
      <c r="BF89" s="67">
        <f t="shared" si="294"/>
        <v>54.984877499999975</v>
      </c>
      <c r="BG89" s="67">
        <f t="shared" si="295"/>
        <v>307.14613125</v>
      </c>
      <c r="BH89" s="67">
        <f t="shared" si="296"/>
        <v>55.045102499999963</v>
      </c>
      <c r="BI89" s="68">
        <f t="shared" si="297"/>
        <v>97.849309500000004</v>
      </c>
      <c r="BJ89" s="68">
        <f t="shared" si="298"/>
        <v>16.308218249999999</v>
      </c>
      <c r="BK89" s="67">
        <f t="shared" si="299"/>
        <v>488.4855225</v>
      </c>
      <c r="BL89" s="67">
        <f t="shared" si="300"/>
        <v>915.66226874999995</v>
      </c>
      <c r="BM89" s="67">
        <f t="shared" si="301"/>
        <v>488.4252975</v>
      </c>
      <c r="BN89" s="68">
        <f t="shared" si="302"/>
        <v>10.844770500000001</v>
      </c>
      <c r="BO89" s="187">
        <f t="shared" si="303"/>
        <v>1.8074617499999999</v>
      </c>
      <c r="BP89" s="157"/>
      <c r="BQ89" s="148"/>
      <c r="BR89" s="148"/>
      <c r="BS89" s="148"/>
      <c r="BT89" s="148"/>
      <c r="BU89" s="148"/>
      <c r="BV89" s="151">
        <v>0</v>
      </c>
      <c r="BW89" s="150">
        <f t="shared" si="321"/>
        <v>0</v>
      </c>
      <c r="BX89" s="150">
        <f t="shared" si="322"/>
        <v>0</v>
      </c>
      <c r="BY89" s="150">
        <f t="shared" si="323"/>
        <v>0</v>
      </c>
      <c r="BZ89" s="155">
        <f t="shared" si="324"/>
        <v>0</v>
      </c>
      <c r="CA89" s="179">
        <f t="shared" si="324"/>
        <v>0</v>
      </c>
      <c r="CB89" s="203">
        <f t="shared" si="304"/>
        <v>0</v>
      </c>
      <c r="CC89" s="198">
        <f t="shared" si="325"/>
        <v>0</v>
      </c>
      <c r="CD89" s="206">
        <f t="shared" si="305"/>
        <v>0</v>
      </c>
      <c r="CE89" s="150">
        <f t="shared" si="326"/>
        <v>0</v>
      </c>
      <c r="CF89" s="206">
        <f t="shared" si="306"/>
        <v>0</v>
      </c>
      <c r="CG89" s="150">
        <f t="shared" si="327"/>
        <v>0</v>
      </c>
      <c r="CH89" s="206">
        <f t="shared" si="307"/>
        <v>0</v>
      </c>
      <c r="CI89" s="150">
        <f t="shared" si="328"/>
        <v>0</v>
      </c>
      <c r="CJ89" s="206">
        <f t="shared" si="308"/>
        <v>0</v>
      </c>
      <c r="CK89" s="150">
        <f t="shared" si="329"/>
        <v>0</v>
      </c>
      <c r="CL89" s="206">
        <f t="shared" si="309"/>
        <v>0</v>
      </c>
      <c r="CM89" s="150">
        <f t="shared" si="330"/>
        <v>0</v>
      </c>
      <c r="CN89" s="150">
        <f t="shared" si="331"/>
        <v>0</v>
      </c>
      <c r="CO89" s="157"/>
      <c r="CP89" s="148"/>
      <c r="CQ89" s="148"/>
      <c r="CR89" s="148"/>
      <c r="CS89" s="148"/>
      <c r="CT89" s="148"/>
      <c r="CU89" s="148"/>
      <c r="CV89" s="151">
        <v>0</v>
      </c>
      <c r="CW89" s="150">
        <f t="shared" ref="CW89:DG89" si="346">CV89+ROUND(CV89*CW$6,2)</f>
        <v>0</v>
      </c>
      <c r="CX89" s="150">
        <f t="shared" si="346"/>
        <v>0</v>
      </c>
      <c r="CY89" s="150">
        <f t="shared" si="346"/>
        <v>0</v>
      </c>
      <c r="CZ89" s="155">
        <f t="shared" si="346"/>
        <v>0</v>
      </c>
      <c r="DA89" s="155">
        <f t="shared" si="346"/>
        <v>0</v>
      </c>
      <c r="DB89" s="155">
        <f t="shared" si="346"/>
        <v>0</v>
      </c>
      <c r="DC89" s="155">
        <f t="shared" si="346"/>
        <v>0</v>
      </c>
      <c r="DD89" s="155">
        <f t="shared" si="346"/>
        <v>0</v>
      </c>
      <c r="DE89" s="155">
        <f t="shared" si="346"/>
        <v>0</v>
      </c>
      <c r="DF89" s="155">
        <f t="shared" si="346"/>
        <v>0</v>
      </c>
      <c r="DG89" s="155">
        <f t="shared" si="346"/>
        <v>0</v>
      </c>
      <c r="DH89" s="236">
        <v>0</v>
      </c>
      <c r="DI89" s="243">
        <f t="shared" si="311"/>
        <v>0</v>
      </c>
      <c r="DJ89" s="248">
        <f t="shared" si="312"/>
        <v>0</v>
      </c>
      <c r="DK89" s="382">
        <v>0</v>
      </c>
      <c r="DL89">
        <f>DH89/'1.piel'!G88</f>
        <v>0</v>
      </c>
    </row>
    <row r="90" spans="2:116" x14ac:dyDescent="0.25">
      <c r="B90" s="52">
        <v>15</v>
      </c>
      <c r="C90" s="53" t="s">
        <v>58</v>
      </c>
      <c r="D90" s="36" t="s">
        <v>270</v>
      </c>
      <c r="E90" s="110">
        <v>11456</v>
      </c>
      <c r="F90" s="178">
        <v>13333</v>
      </c>
      <c r="G90" s="36">
        <v>15</v>
      </c>
      <c r="H90" s="99">
        <f t="shared" si="252"/>
        <v>13348</v>
      </c>
      <c r="I90" s="94">
        <f t="shared" si="240"/>
        <v>1</v>
      </c>
      <c r="J90" s="89">
        <v>13333</v>
      </c>
      <c r="K90" s="98">
        <f t="shared" si="241"/>
        <v>0</v>
      </c>
      <c r="L90" s="99">
        <f t="shared" si="253"/>
        <v>0</v>
      </c>
      <c r="M90" s="174">
        <f t="shared" si="254"/>
        <v>0</v>
      </c>
      <c r="N90" s="64">
        <f t="shared" si="255"/>
        <v>0</v>
      </c>
      <c r="O90" s="64">
        <f t="shared" si="256"/>
        <v>0</v>
      </c>
      <c r="P90" s="64">
        <f t="shared" si="257"/>
        <v>0</v>
      </c>
      <c r="Q90" s="64">
        <f t="shared" si="258"/>
        <v>0</v>
      </c>
      <c r="R90" s="64">
        <f t="shared" si="259"/>
        <v>0</v>
      </c>
      <c r="S90" s="64">
        <f t="shared" si="260"/>
        <v>0</v>
      </c>
      <c r="T90" s="64">
        <f t="shared" si="261"/>
        <v>0</v>
      </c>
      <c r="U90" s="64">
        <f t="shared" si="262"/>
        <v>0</v>
      </c>
      <c r="V90" s="64">
        <f t="shared" si="263"/>
        <v>0</v>
      </c>
      <c r="W90" s="64">
        <f t="shared" si="264"/>
        <v>0</v>
      </c>
      <c r="X90" s="64">
        <f t="shared" si="265"/>
        <v>0</v>
      </c>
      <c r="Y90" s="64">
        <f t="shared" si="266"/>
        <v>0</v>
      </c>
      <c r="Z90" s="64">
        <f t="shared" si="267"/>
        <v>0</v>
      </c>
      <c r="AA90" s="64">
        <f t="shared" si="268"/>
        <v>0</v>
      </c>
      <c r="AB90" s="64">
        <f t="shared" si="269"/>
        <v>0</v>
      </c>
      <c r="AC90" s="64">
        <f t="shared" si="270"/>
        <v>0</v>
      </c>
      <c r="AD90" s="64">
        <f t="shared" si="271"/>
        <v>0</v>
      </c>
      <c r="AE90" s="64">
        <f t="shared" si="272"/>
        <v>0</v>
      </c>
      <c r="AF90" s="64">
        <f t="shared" si="273"/>
        <v>0</v>
      </c>
      <c r="AG90" s="65">
        <f t="shared" si="274"/>
        <v>292.32119999999998</v>
      </c>
      <c r="AH90" s="65">
        <f t="shared" si="275"/>
        <v>657.72270000000003</v>
      </c>
      <c r="AI90" s="65">
        <f t="shared" si="276"/>
        <v>292.32119999999998</v>
      </c>
      <c r="AJ90" s="65">
        <f t="shared" si="277"/>
        <v>58.464239999999997</v>
      </c>
      <c r="AK90" s="65">
        <f t="shared" si="278"/>
        <v>9.74404</v>
      </c>
      <c r="AL90" s="66">
        <v>0.9</v>
      </c>
      <c r="AM90" s="66">
        <v>0.75</v>
      </c>
      <c r="AN90" s="66">
        <v>0.9</v>
      </c>
      <c r="AO90" s="66">
        <v>0.1</v>
      </c>
      <c r="AP90" s="66">
        <v>0.1</v>
      </c>
      <c r="AQ90" s="65">
        <f t="shared" si="279"/>
        <v>263.08907999999997</v>
      </c>
      <c r="AR90" s="65">
        <f t="shared" si="280"/>
        <v>493.29202500000002</v>
      </c>
      <c r="AS90" s="65">
        <f t="shared" si="281"/>
        <v>263.08907999999997</v>
      </c>
      <c r="AT90" s="65">
        <f t="shared" si="282"/>
        <v>5.8464239999999998</v>
      </c>
      <c r="AU90" s="65">
        <f t="shared" si="283"/>
        <v>0.97440400000000005</v>
      </c>
      <c r="AV90" s="65">
        <f t="shared" si="284"/>
        <v>29.232120000000009</v>
      </c>
      <c r="AW90" s="65">
        <f t="shared" si="285"/>
        <v>164.43067500000001</v>
      </c>
      <c r="AX90" s="65">
        <f t="shared" si="286"/>
        <v>29.232120000000009</v>
      </c>
      <c r="AY90" s="65">
        <f t="shared" si="287"/>
        <v>52.617815999999998</v>
      </c>
      <c r="AZ90" s="65">
        <f t="shared" si="288"/>
        <v>8.7696360000000002</v>
      </c>
      <c r="BA90" s="67">
        <f t="shared" si="289"/>
        <v>292.32119999999998</v>
      </c>
      <c r="BB90" s="67">
        <f t="shared" si="290"/>
        <v>657.72270000000003</v>
      </c>
      <c r="BC90" s="67">
        <f t="shared" si="291"/>
        <v>292.32119999999998</v>
      </c>
      <c r="BD90" s="68">
        <f t="shared" si="292"/>
        <v>58.464239999999997</v>
      </c>
      <c r="BE90" s="68">
        <f t="shared" si="293"/>
        <v>9.74404</v>
      </c>
      <c r="BF90" s="67">
        <f t="shared" si="294"/>
        <v>29.232120000000009</v>
      </c>
      <c r="BG90" s="67">
        <f t="shared" si="295"/>
        <v>164.43067500000001</v>
      </c>
      <c r="BH90" s="67">
        <f t="shared" si="296"/>
        <v>29.232120000000009</v>
      </c>
      <c r="BI90" s="68">
        <f t="shared" si="297"/>
        <v>52.617815999999998</v>
      </c>
      <c r="BJ90" s="68">
        <f t="shared" si="298"/>
        <v>8.7696360000000002</v>
      </c>
      <c r="BK90" s="67">
        <f t="shared" si="299"/>
        <v>263.08907999999997</v>
      </c>
      <c r="BL90" s="67">
        <f t="shared" si="300"/>
        <v>493.29202500000002</v>
      </c>
      <c r="BM90" s="67">
        <f t="shared" si="301"/>
        <v>263.08907999999997</v>
      </c>
      <c r="BN90" s="68">
        <f t="shared" si="302"/>
        <v>5.8464239999999998</v>
      </c>
      <c r="BO90" s="187">
        <f t="shared" si="303"/>
        <v>0.97440400000000005</v>
      </c>
      <c r="BP90" s="157"/>
      <c r="BQ90" s="148"/>
      <c r="BR90" s="148"/>
      <c r="BS90" s="148"/>
      <c r="BT90" s="148"/>
      <c r="BU90" s="148"/>
      <c r="BV90" s="151">
        <v>0</v>
      </c>
      <c r="BW90" s="150">
        <f t="shared" si="321"/>
        <v>0</v>
      </c>
      <c r="BX90" s="150">
        <f t="shared" si="322"/>
        <v>0</v>
      </c>
      <c r="BY90" s="150">
        <f t="shared" si="323"/>
        <v>0</v>
      </c>
      <c r="BZ90" s="155">
        <f t="shared" si="324"/>
        <v>0</v>
      </c>
      <c r="CA90" s="179">
        <f t="shared" si="324"/>
        <v>0</v>
      </c>
      <c r="CB90" s="203">
        <f t="shared" si="304"/>
        <v>0</v>
      </c>
      <c r="CC90" s="198">
        <f t="shared" si="325"/>
        <v>0</v>
      </c>
      <c r="CD90" s="206">
        <f t="shared" si="305"/>
        <v>0</v>
      </c>
      <c r="CE90" s="150">
        <f t="shared" si="326"/>
        <v>0</v>
      </c>
      <c r="CF90" s="206">
        <f t="shared" si="306"/>
        <v>0</v>
      </c>
      <c r="CG90" s="150">
        <f t="shared" si="327"/>
        <v>0</v>
      </c>
      <c r="CH90" s="206">
        <f t="shared" si="307"/>
        <v>0</v>
      </c>
      <c r="CI90" s="150">
        <f t="shared" si="328"/>
        <v>0</v>
      </c>
      <c r="CJ90" s="206">
        <f t="shared" si="308"/>
        <v>0</v>
      </c>
      <c r="CK90" s="150">
        <f t="shared" si="329"/>
        <v>0</v>
      </c>
      <c r="CL90" s="206">
        <f t="shared" si="309"/>
        <v>0</v>
      </c>
      <c r="CM90" s="150">
        <f t="shared" si="330"/>
        <v>0</v>
      </c>
      <c r="CN90" s="150">
        <f t="shared" si="331"/>
        <v>0</v>
      </c>
      <c r="CO90" s="157"/>
      <c r="CP90" s="148"/>
      <c r="CQ90" s="148"/>
      <c r="CR90" s="148"/>
      <c r="CS90" s="151">
        <v>0</v>
      </c>
      <c r="CT90" s="150">
        <f>CS90+ROUND(CS90*CT$6,2)</f>
        <v>0</v>
      </c>
      <c r="CU90" s="150">
        <f>CT90+ROUND(CT90*CU$6,2)</f>
        <v>0</v>
      </c>
      <c r="CV90" s="150">
        <f>CU90+ROUND(CU90*CV$6,2)</f>
        <v>0</v>
      </c>
      <c r="CW90" s="150">
        <f t="shared" ref="CW90:DG90" si="347">CV90+ROUND(CV90*CW$6,2)</f>
        <v>0</v>
      </c>
      <c r="CX90" s="150">
        <f t="shared" si="347"/>
        <v>0</v>
      </c>
      <c r="CY90" s="150">
        <f t="shared" si="347"/>
        <v>0</v>
      </c>
      <c r="CZ90" s="155">
        <f t="shared" si="347"/>
        <v>0</v>
      </c>
      <c r="DA90" s="155">
        <f t="shared" si="347"/>
        <v>0</v>
      </c>
      <c r="DB90" s="155">
        <f t="shared" si="347"/>
        <v>0</v>
      </c>
      <c r="DC90" s="155">
        <f t="shared" si="347"/>
        <v>0</v>
      </c>
      <c r="DD90" s="155">
        <f t="shared" si="347"/>
        <v>0</v>
      </c>
      <c r="DE90" s="155">
        <f t="shared" si="347"/>
        <v>0</v>
      </c>
      <c r="DF90" s="155">
        <f t="shared" si="347"/>
        <v>0</v>
      </c>
      <c r="DG90" s="155">
        <f t="shared" si="347"/>
        <v>0</v>
      </c>
      <c r="DH90" s="236">
        <v>0</v>
      </c>
      <c r="DI90" s="243">
        <f t="shared" si="311"/>
        <v>0</v>
      </c>
      <c r="DJ90" s="248">
        <f t="shared" si="312"/>
        <v>0</v>
      </c>
      <c r="DK90" s="382">
        <v>0</v>
      </c>
      <c r="DL90">
        <f>DH90/'1.piel'!G89</f>
        <v>0</v>
      </c>
    </row>
    <row r="91" spans="2:116" x14ac:dyDescent="0.25">
      <c r="B91" s="52">
        <v>16</v>
      </c>
      <c r="C91" s="53" t="s">
        <v>59</v>
      </c>
      <c r="D91" s="40" t="s">
        <v>270</v>
      </c>
      <c r="E91" s="110">
        <v>11091</v>
      </c>
      <c r="F91" s="178">
        <v>11905</v>
      </c>
      <c r="G91" s="36">
        <v>220</v>
      </c>
      <c r="H91" s="99">
        <f t="shared" si="252"/>
        <v>12125</v>
      </c>
      <c r="I91" s="94">
        <f t="shared" si="240"/>
        <v>0.99832003359932797</v>
      </c>
      <c r="J91" s="89">
        <v>11885</v>
      </c>
      <c r="K91" s="98">
        <f t="shared" si="241"/>
        <v>1.6799664006719867E-3</v>
      </c>
      <c r="L91" s="99">
        <f t="shared" si="253"/>
        <v>20</v>
      </c>
      <c r="M91" s="174">
        <f t="shared" si="254"/>
        <v>0.438</v>
      </c>
      <c r="N91" s="64">
        <f t="shared" si="255"/>
        <v>0.98550000000000004</v>
      </c>
      <c r="O91" s="64">
        <f t="shared" si="256"/>
        <v>0.438</v>
      </c>
      <c r="P91" s="64">
        <f t="shared" si="257"/>
        <v>8.7599999999999997E-2</v>
      </c>
      <c r="Q91" s="64">
        <f t="shared" si="258"/>
        <v>1.46E-2</v>
      </c>
      <c r="R91" s="64">
        <f t="shared" si="259"/>
        <v>9.4899999999999998E-2</v>
      </c>
      <c r="S91" s="64">
        <f t="shared" si="260"/>
        <v>0.16059999999999999</v>
      </c>
      <c r="T91" s="64">
        <f t="shared" si="261"/>
        <v>0.1095</v>
      </c>
      <c r="U91" s="64">
        <f t="shared" si="262"/>
        <v>2.1899999999999999E-2</v>
      </c>
      <c r="V91" s="64">
        <f t="shared" si="263"/>
        <v>3.65E-3</v>
      </c>
      <c r="W91" s="64">
        <f t="shared" si="264"/>
        <v>0.13869999999999999</v>
      </c>
      <c r="X91" s="64">
        <f t="shared" si="265"/>
        <v>0.2336</v>
      </c>
      <c r="Y91" s="64">
        <f t="shared" si="266"/>
        <v>0.1095</v>
      </c>
      <c r="Z91" s="64">
        <f t="shared" si="267"/>
        <v>0</v>
      </c>
      <c r="AA91" s="64">
        <f t="shared" si="268"/>
        <v>0</v>
      </c>
      <c r="AB91" s="64">
        <f t="shared" si="269"/>
        <v>0.2044</v>
      </c>
      <c r="AC91" s="64">
        <f t="shared" si="270"/>
        <v>0.59130000000000005</v>
      </c>
      <c r="AD91" s="64">
        <f t="shared" si="271"/>
        <v>0.219</v>
      </c>
      <c r="AE91" s="64">
        <f t="shared" si="272"/>
        <v>6.5699999999999995E-2</v>
      </c>
      <c r="AF91" s="64">
        <f t="shared" si="273"/>
        <v>1.095E-2</v>
      </c>
      <c r="AG91" s="65">
        <f t="shared" si="274"/>
        <v>265.09949999999998</v>
      </c>
      <c r="AH91" s="65">
        <f t="shared" si="275"/>
        <v>596.47387500000002</v>
      </c>
      <c r="AI91" s="65">
        <f t="shared" si="276"/>
        <v>265.09949999999998</v>
      </c>
      <c r="AJ91" s="65">
        <f t="shared" si="277"/>
        <v>53.0199</v>
      </c>
      <c r="AK91" s="65">
        <f t="shared" si="278"/>
        <v>8.8366500000000006</v>
      </c>
      <c r="AL91" s="66">
        <v>0.9</v>
      </c>
      <c r="AM91" s="66">
        <v>0.75</v>
      </c>
      <c r="AN91" s="66">
        <v>0.9</v>
      </c>
      <c r="AO91" s="66">
        <v>0.1</v>
      </c>
      <c r="AP91" s="66">
        <v>0.1</v>
      </c>
      <c r="AQ91" s="65">
        <f t="shared" si="279"/>
        <v>238.67495999999997</v>
      </c>
      <c r="AR91" s="65">
        <f t="shared" si="280"/>
        <v>447.47585625000005</v>
      </c>
      <c r="AS91" s="65">
        <f t="shared" si="281"/>
        <v>238.68810000000002</v>
      </c>
      <c r="AT91" s="65">
        <f t="shared" si="282"/>
        <v>5.3041800000000006</v>
      </c>
      <c r="AU91" s="65">
        <f t="shared" si="283"/>
        <v>0.88403000000000009</v>
      </c>
      <c r="AV91" s="65">
        <f t="shared" si="284"/>
        <v>26.519440000000003</v>
      </c>
      <c r="AW91" s="65">
        <f t="shared" si="285"/>
        <v>149.15861875000002</v>
      </c>
      <c r="AX91" s="65">
        <f t="shared" si="286"/>
        <v>26.520899999999983</v>
      </c>
      <c r="AY91" s="65">
        <f t="shared" si="287"/>
        <v>47.73762</v>
      </c>
      <c r="AZ91" s="65">
        <f t="shared" si="288"/>
        <v>7.9562700000000008</v>
      </c>
      <c r="BA91" s="67">
        <f t="shared" si="289"/>
        <v>265.53749999999997</v>
      </c>
      <c r="BB91" s="67">
        <f t="shared" si="290"/>
        <v>597.45937500000002</v>
      </c>
      <c r="BC91" s="67">
        <f t="shared" si="291"/>
        <v>265.53749999999997</v>
      </c>
      <c r="BD91" s="68">
        <f t="shared" si="292"/>
        <v>53.107500000000002</v>
      </c>
      <c r="BE91" s="68">
        <f t="shared" si="293"/>
        <v>8.8512500000000003</v>
      </c>
      <c r="BF91" s="67">
        <f t="shared" si="294"/>
        <v>26.723840000000003</v>
      </c>
      <c r="BG91" s="67">
        <f t="shared" si="295"/>
        <v>149.74991875000001</v>
      </c>
      <c r="BH91" s="67">
        <f t="shared" si="296"/>
        <v>26.739899999999984</v>
      </c>
      <c r="BI91" s="68">
        <f t="shared" si="297"/>
        <v>47.803319999999999</v>
      </c>
      <c r="BJ91" s="68">
        <f t="shared" si="298"/>
        <v>7.9672200000000011</v>
      </c>
      <c r="BK91" s="67">
        <f t="shared" si="299"/>
        <v>238.81365999999997</v>
      </c>
      <c r="BL91" s="67">
        <f t="shared" si="300"/>
        <v>447.70945625000007</v>
      </c>
      <c r="BM91" s="67">
        <f t="shared" si="301"/>
        <v>238.79760000000002</v>
      </c>
      <c r="BN91" s="68">
        <f t="shared" si="302"/>
        <v>5.3041800000000006</v>
      </c>
      <c r="BO91" s="187">
        <f t="shared" si="303"/>
        <v>0.88403000000000009</v>
      </c>
      <c r="BP91" s="157"/>
      <c r="BQ91" s="148"/>
      <c r="BR91" s="148"/>
      <c r="BS91" s="148"/>
      <c r="BT91" s="148"/>
      <c r="BU91" s="148"/>
      <c r="BV91" s="151">
        <v>18000</v>
      </c>
      <c r="BW91" s="150">
        <f t="shared" si="321"/>
        <v>18900</v>
      </c>
      <c r="BX91" s="150">
        <f t="shared" si="322"/>
        <v>21716.1</v>
      </c>
      <c r="BY91" s="150">
        <f t="shared" si="323"/>
        <v>21802.959999999999</v>
      </c>
      <c r="BZ91" s="155">
        <f t="shared" si="324"/>
        <v>22304.43</v>
      </c>
      <c r="CA91" s="179">
        <f t="shared" si="324"/>
        <v>22817.43</v>
      </c>
      <c r="CB91" s="203">
        <f t="shared" si="304"/>
        <v>2167.6558500000001</v>
      </c>
      <c r="CC91" s="198">
        <f t="shared" si="325"/>
        <v>23342.23</v>
      </c>
      <c r="CD91" s="206">
        <f t="shared" si="305"/>
        <v>2217.5118499999999</v>
      </c>
      <c r="CE91" s="150">
        <f t="shared" si="326"/>
        <v>23879.1</v>
      </c>
      <c r="CF91" s="206">
        <f t="shared" si="306"/>
        <v>2268.5144999999998</v>
      </c>
      <c r="CG91" s="150">
        <f t="shared" si="327"/>
        <v>24428.32</v>
      </c>
      <c r="CH91" s="206">
        <f t="shared" si="307"/>
        <v>2320.6904</v>
      </c>
      <c r="CI91" s="150">
        <f t="shared" si="328"/>
        <v>24990.17</v>
      </c>
      <c r="CJ91" s="206">
        <f t="shared" si="308"/>
        <v>2374.0661499999997</v>
      </c>
      <c r="CK91" s="150">
        <f t="shared" si="329"/>
        <v>25564.94</v>
      </c>
      <c r="CL91" s="206">
        <f t="shared" si="309"/>
        <v>2428.6693</v>
      </c>
      <c r="CM91" s="150">
        <f t="shared" si="330"/>
        <v>26152.93</v>
      </c>
      <c r="CN91" s="150">
        <f t="shared" si="331"/>
        <v>26754.45</v>
      </c>
      <c r="CO91" s="157"/>
      <c r="CP91" s="148"/>
      <c r="CQ91" s="148"/>
      <c r="CR91" s="148"/>
      <c r="CS91" s="148"/>
      <c r="CT91" s="148"/>
      <c r="CU91" s="151">
        <v>0</v>
      </c>
      <c r="CV91" s="150">
        <f>CU91+ROUND(CU91*CV$6,2)</f>
        <v>0</v>
      </c>
      <c r="CW91" s="150">
        <f t="shared" ref="CW91:DG91" si="348">CV91+ROUND(CV91*CW$6,2)</f>
        <v>0</v>
      </c>
      <c r="CX91" s="150">
        <f t="shared" si="348"/>
        <v>0</v>
      </c>
      <c r="CY91" s="150">
        <f t="shared" si="348"/>
        <v>0</v>
      </c>
      <c r="CZ91" s="155">
        <f t="shared" si="348"/>
        <v>0</v>
      </c>
      <c r="DA91" s="155">
        <f t="shared" si="348"/>
        <v>0</v>
      </c>
      <c r="DB91" s="155">
        <f t="shared" si="348"/>
        <v>0</v>
      </c>
      <c r="DC91" s="155">
        <f t="shared" si="348"/>
        <v>0</v>
      </c>
      <c r="DD91" s="155">
        <f t="shared" si="348"/>
        <v>0</v>
      </c>
      <c r="DE91" s="155">
        <f t="shared" si="348"/>
        <v>0</v>
      </c>
      <c r="DF91" s="155">
        <f t="shared" si="348"/>
        <v>0</v>
      </c>
      <c r="DG91" s="155">
        <f t="shared" si="348"/>
        <v>0</v>
      </c>
      <c r="DH91" s="236">
        <v>0</v>
      </c>
      <c r="DI91" s="243">
        <f t="shared" si="311"/>
        <v>22817.43</v>
      </c>
      <c r="DJ91" s="248">
        <f t="shared" si="312"/>
        <v>1140.8715</v>
      </c>
      <c r="DK91" s="382">
        <f>CA91/'1.piel'!M90</f>
        <v>1140.8715</v>
      </c>
      <c r="DL91">
        <f>DH91/'1.piel'!G90</f>
        <v>0</v>
      </c>
    </row>
    <row r="92" spans="2:116" x14ac:dyDescent="0.25">
      <c r="B92" s="52">
        <v>19</v>
      </c>
      <c r="C92" s="53" t="s">
        <v>62</v>
      </c>
      <c r="D92" s="36" t="s">
        <v>270</v>
      </c>
      <c r="E92" s="110">
        <v>9984</v>
      </c>
      <c r="F92" s="178">
        <v>10594</v>
      </c>
      <c r="G92" s="63">
        <v>5767</v>
      </c>
      <c r="H92" s="99">
        <f t="shared" si="252"/>
        <v>16361</v>
      </c>
      <c r="I92" s="94">
        <f t="shared" si="240"/>
        <v>0.98942797810081173</v>
      </c>
      <c r="J92" s="89">
        <v>10482</v>
      </c>
      <c r="K92" s="98">
        <f t="shared" si="241"/>
        <v>1.057202189918822E-2</v>
      </c>
      <c r="L92" s="99">
        <f t="shared" si="253"/>
        <v>112</v>
      </c>
      <c r="M92" s="174">
        <f t="shared" si="254"/>
        <v>2.4527999999999999</v>
      </c>
      <c r="N92" s="64">
        <f t="shared" si="255"/>
        <v>5.5187999999999997</v>
      </c>
      <c r="O92" s="64">
        <f t="shared" si="256"/>
        <v>2.4527999999999999</v>
      </c>
      <c r="P92" s="64">
        <f t="shared" si="257"/>
        <v>0.49056</v>
      </c>
      <c r="Q92" s="64">
        <f t="shared" si="258"/>
        <v>8.1759999999999999E-2</v>
      </c>
      <c r="R92" s="64">
        <f t="shared" si="259"/>
        <v>0.53144000000000002</v>
      </c>
      <c r="S92" s="64">
        <f t="shared" si="260"/>
        <v>0.89936000000000005</v>
      </c>
      <c r="T92" s="64">
        <f t="shared" si="261"/>
        <v>0.61319999999999997</v>
      </c>
      <c r="U92" s="64">
        <f t="shared" si="262"/>
        <v>0.12264</v>
      </c>
      <c r="V92" s="64">
        <f t="shared" si="263"/>
        <v>2.044E-2</v>
      </c>
      <c r="W92" s="64">
        <f t="shared" si="264"/>
        <v>0.77671999999999997</v>
      </c>
      <c r="X92" s="64">
        <f t="shared" si="265"/>
        <v>1.30816</v>
      </c>
      <c r="Y92" s="64">
        <f t="shared" si="266"/>
        <v>0.61319999999999997</v>
      </c>
      <c r="Z92" s="64">
        <f t="shared" si="267"/>
        <v>0</v>
      </c>
      <c r="AA92" s="64">
        <f t="shared" si="268"/>
        <v>0</v>
      </c>
      <c r="AB92" s="64">
        <f t="shared" si="269"/>
        <v>1.1446400000000001</v>
      </c>
      <c r="AC92" s="64">
        <f t="shared" si="270"/>
        <v>3.31128</v>
      </c>
      <c r="AD92" s="64">
        <f t="shared" si="271"/>
        <v>1.2263999999999999</v>
      </c>
      <c r="AE92" s="64">
        <f t="shared" si="272"/>
        <v>0.36792000000000002</v>
      </c>
      <c r="AF92" s="64">
        <f t="shared" si="273"/>
        <v>6.132E-2</v>
      </c>
      <c r="AG92" s="65">
        <f t="shared" si="274"/>
        <v>355.85309999999998</v>
      </c>
      <c r="AH92" s="65">
        <f t="shared" si="275"/>
        <v>800.66947500000003</v>
      </c>
      <c r="AI92" s="65">
        <f t="shared" si="276"/>
        <v>355.85309999999998</v>
      </c>
      <c r="AJ92" s="65">
        <f t="shared" si="277"/>
        <v>71.17062</v>
      </c>
      <c r="AK92" s="65">
        <f t="shared" si="278"/>
        <v>11.86177</v>
      </c>
      <c r="AL92" s="66">
        <v>0.9</v>
      </c>
      <c r="AM92" s="66">
        <v>0.75</v>
      </c>
      <c r="AN92" s="66">
        <v>0.9</v>
      </c>
      <c r="AO92" s="66">
        <v>0.1</v>
      </c>
      <c r="AP92" s="66">
        <v>0.1</v>
      </c>
      <c r="AQ92" s="65">
        <f t="shared" si="279"/>
        <v>320.74608599999999</v>
      </c>
      <c r="AR92" s="65">
        <f t="shared" si="280"/>
        <v>601.17662625000003</v>
      </c>
      <c r="AS92" s="65">
        <f t="shared" si="281"/>
        <v>320.81966999999997</v>
      </c>
      <c r="AT92" s="65">
        <f t="shared" si="282"/>
        <v>7.1293260000000007</v>
      </c>
      <c r="AU92" s="65">
        <f t="shared" si="283"/>
        <v>1.1882210000000002</v>
      </c>
      <c r="AV92" s="65">
        <f t="shared" si="284"/>
        <v>35.638453999999967</v>
      </c>
      <c r="AW92" s="65">
        <f t="shared" si="285"/>
        <v>200.39220875000001</v>
      </c>
      <c r="AX92" s="65">
        <f t="shared" si="286"/>
        <v>35.646630000000016</v>
      </c>
      <c r="AY92" s="65">
        <f t="shared" si="287"/>
        <v>64.163933999999998</v>
      </c>
      <c r="AZ92" s="65">
        <f t="shared" si="288"/>
        <v>10.693989</v>
      </c>
      <c r="BA92" s="67">
        <f t="shared" si="289"/>
        <v>358.30590000000001</v>
      </c>
      <c r="BB92" s="67">
        <f t="shared" si="290"/>
        <v>806.18827500000009</v>
      </c>
      <c r="BC92" s="67">
        <f t="shared" si="291"/>
        <v>358.30590000000001</v>
      </c>
      <c r="BD92" s="68">
        <f t="shared" si="292"/>
        <v>71.661180000000002</v>
      </c>
      <c r="BE92" s="68">
        <f t="shared" si="293"/>
        <v>11.943529999999999</v>
      </c>
      <c r="BF92" s="67">
        <f t="shared" si="294"/>
        <v>36.78309399999997</v>
      </c>
      <c r="BG92" s="67">
        <f t="shared" si="295"/>
        <v>203.70348875000002</v>
      </c>
      <c r="BH92" s="67">
        <f t="shared" si="296"/>
        <v>36.873030000000014</v>
      </c>
      <c r="BI92" s="68">
        <f t="shared" si="297"/>
        <v>64.531853999999996</v>
      </c>
      <c r="BJ92" s="68">
        <f t="shared" si="298"/>
        <v>10.755309</v>
      </c>
      <c r="BK92" s="67">
        <f t="shared" si="299"/>
        <v>321.522806</v>
      </c>
      <c r="BL92" s="67">
        <f t="shared" si="300"/>
        <v>602.48478625000007</v>
      </c>
      <c r="BM92" s="67">
        <f t="shared" si="301"/>
        <v>321.43286999999998</v>
      </c>
      <c r="BN92" s="68">
        <f t="shared" si="302"/>
        <v>7.1293260000000007</v>
      </c>
      <c r="BO92" s="187">
        <f t="shared" si="303"/>
        <v>1.1882210000000002</v>
      </c>
      <c r="BP92" s="157"/>
      <c r="BQ92" s="148"/>
      <c r="BR92" s="148"/>
      <c r="BS92" s="148"/>
      <c r="BT92" s="148"/>
      <c r="BU92" s="148"/>
      <c r="BV92" s="148"/>
      <c r="BW92" s="151">
        <v>227559</v>
      </c>
      <c r="BX92" s="150">
        <f t="shared" si="322"/>
        <v>261465.29</v>
      </c>
      <c r="BY92" s="150">
        <f t="shared" si="323"/>
        <v>262511.15000000002</v>
      </c>
      <c r="BZ92" s="155">
        <f t="shared" si="324"/>
        <v>268548.91000000003</v>
      </c>
      <c r="CA92" s="179">
        <f t="shared" si="324"/>
        <v>274725.53000000003</v>
      </c>
      <c r="CB92" s="203">
        <f t="shared" si="304"/>
        <v>26098.925350000001</v>
      </c>
      <c r="CC92" s="198">
        <f t="shared" si="325"/>
        <v>281044.22000000003</v>
      </c>
      <c r="CD92" s="206">
        <f t="shared" si="305"/>
        <v>26699.200900000003</v>
      </c>
      <c r="CE92" s="150">
        <f t="shared" si="326"/>
        <v>287508.24000000005</v>
      </c>
      <c r="CF92" s="206">
        <f t="shared" si="306"/>
        <v>27313.282800000004</v>
      </c>
      <c r="CG92" s="150">
        <f t="shared" si="327"/>
        <v>294120.93000000005</v>
      </c>
      <c r="CH92" s="206">
        <f t="shared" si="307"/>
        <v>27941.488350000007</v>
      </c>
      <c r="CI92" s="150">
        <f t="shared" si="328"/>
        <v>300885.71000000008</v>
      </c>
      <c r="CJ92" s="206">
        <f t="shared" si="308"/>
        <v>28584.142450000007</v>
      </c>
      <c r="CK92" s="150">
        <f t="shared" si="329"/>
        <v>307806.08000000007</v>
      </c>
      <c r="CL92" s="206">
        <f t="shared" si="309"/>
        <v>29241.577600000008</v>
      </c>
      <c r="CM92" s="150">
        <f t="shared" si="330"/>
        <v>314885.62000000005</v>
      </c>
      <c r="CN92" s="150">
        <f t="shared" si="331"/>
        <v>322127.99000000005</v>
      </c>
      <c r="CO92" s="157"/>
      <c r="CP92" s="148"/>
      <c r="CQ92" s="148"/>
      <c r="CR92" s="148"/>
      <c r="CS92" s="148"/>
      <c r="CT92" s="148"/>
      <c r="CU92" s="148"/>
      <c r="CV92" s="151">
        <v>657408</v>
      </c>
      <c r="CW92" s="150">
        <f t="shared" ref="CW92:DG92" si="349">CV92+ROUND(CV92*CW$6,2)</f>
        <v>755361.79</v>
      </c>
      <c r="CX92" s="150">
        <f t="shared" si="349"/>
        <v>758383.24</v>
      </c>
      <c r="CY92" s="150">
        <f t="shared" si="349"/>
        <v>775826.05</v>
      </c>
      <c r="CZ92" s="155">
        <f t="shared" si="349"/>
        <v>795221.70000000007</v>
      </c>
      <c r="DA92" s="155">
        <f t="shared" si="349"/>
        <v>815102.24000000011</v>
      </c>
      <c r="DB92" s="155">
        <f t="shared" si="349"/>
        <v>835479.80000000016</v>
      </c>
      <c r="DC92" s="155">
        <f t="shared" si="349"/>
        <v>856366.80000000016</v>
      </c>
      <c r="DD92" s="155">
        <f t="shared" si="349"/>
        <v>877775.9700000002</v>
      </c>
      <c r="DE92" s="155">
        <f t="shared" si="349"/>
        <v>899720.37000000023</v>
      </c>
      <c r="DF92" s="155">
        <f t="shared" si="349"/>
        <v>922213.38000000024</v>
      </c>
      <c r="DG92" s="155">
        <f t="shared" si="349"/>
        <v>945268.7100000002</v>
      </c>
      <c r="DH92" s="236">
        <v>0</v>
      </c>
      <c r="DI92" s="243">
        <f t="shared" si="311"/>
        <v>274725.53000000003</v>
      </c>
      <c r="DJ92" s="248">
        <f t="shared" si="312"/>
        <v>2452.9065178571432</v>
      </c>
      <c r="DK92" s="382">
        <f>CA92/'1.piel'!M91</f>
        <v>2452.9065178571432</v>
      </c>
      <c r="DL92">
        <f>DH92/'1.piel'!G91</f>
        <v>0</v>
      </c>
    </row>
    <row r="93" spans="2:116" x14ac:dyDescent="0.25">
      <c r="B93" s="52">
        <v>39</v>
      </c>
      <c r="C93" s="53" t="s">
        <v>82</v>
      </c>
      <c r="D93" s="36" t="s">
        <v>270</v>
      </c>
      <c r="E93" s="110">
        <v>4447</v>
      </c>
      <c r="F93" s="178">
        <v>4988</v>
      </c>
      <c r="G93" s="63">
        <v>1433</v>
      </c>
      <c r="H93" s="99">
        <f t="shared" si="252"/>
        <v>6421</v>
      </c>
      <c r="I93" s="94">
        <f t="shared" si="240"/>
        <v>0.97233360064153973</v>
      </c>
      <c r="J93" s="89">
        <v>4850</v>
      </c>
      <c r="K93" s="98">
        <f t="shared" si="241"/>
        <v>2.7666399358460304E-2</v>
      </c>
      <c r="L93" s="99">
        <f t="shared" si="253"/>
        <v>138</v>
      </c>
      <c r="M93" s="174">
        <f t="shared" si="254"/>
        <v>3.0222000000000002</v>
      </c>
      <c r="N93" s="64">
        <f t="shared" si="255"/>
        <v>6.7999499999999999</v>
      </c>
      <c r="O93" s="64">
        <f t="shared" si="256"/>
        <v>3.0222000000000002</v>
      </c>
      <c r="P93" s="64">
        <f t="shared" si="257"/>
        <v>0.60443999999999998</v>
      </c>
      <c r="Q93" s="64">
        <f t="shared" si="258"/>
        <v>0.10074</v>
      </c>
      <c r="R93" s="64">
        <f t="shared" si="259"/>
        <v>0.65481</v>
      </c>
      <c r="S93" s="64">
        <f t="shared" si="260"/>
        <v>1.1081399999999999</v>
      </c>
      <c r="T93" s="64">
        <f t="shared" si="261"/>
        <v>0.75555000000000005</v>
      </c>
      <c r="U93" s="64">
        <f t="shared" si="262"/>
        <v>0.15110999999999999</v>
      </c>
      <c r="V93" s="64">
        <f t="shared" si="263"/>
        <v>2.5184999999999999E-2</v>
      </c>
      <c r="W93" s="64">
        <f t="shared" si="264"/>
        <v>0.95703000000000005</v>
      </c>
      <c r="X93" s="64">
        <f t="shared" si="265"/>
        <v>1.6118399999999999</v>
      </c>
      <c r="Y93" s="64">
        <f t="shared" si="266"/>
        <v>0.75555000000000005</v>
      </c>
      <c r="Z93" s="64">
        <f t="shared" si="267"/>
        <v>0</v>
      </c>
      <c r="AA93" s="64">
        <f t="shared" si="268"/>
        <v>0</v>
      </c>
      <c r="AB93" s="64">
        <f t="shared" si="269"/>
        <v>1.4103600000000001</v>
      </c>
      <c r="AC93" s="64">
        <f t="shared" si="270"/>
        <v>4.0799700000000003</v>
      </c>
      <c r="AD93" s="64">
        <f t="shared" si="271"/>
        <v>1.5111000000000001</v>
      </c>
      <c r="AE93" s="64">
        <f t="shared" si="272"/>
        <v>0.45333000000000001</v>
      </c>
      <c r="AF93" s="64">
        <f t="shared" si="273"/>
        <v>7.5554999999999997E-2</v>
      </c>
      <c r="AG93" s="65">
        <f t="shared" si="274"/>
        <v>137.5977</v>
      </c>
      <c r="AH93" s="65">
        <f t="shared" si="275"/>
        <v>309.59482500000001</v>
      </c>
      <c r="AI93" s="65">
        <f t="shared" si="276"/>
        <v>137.5977</v>
      </c>
      <c r="AJ93" s="65">
        <f t="shared" si="277"/>
        <v>27.519539999999999</v>
      </c>
      <c r="AK93" s="65">
        <f t="shared" si="278"/>
        <v>4.5865900000000002</v>
      </c>
      <c r="AL93" s="66">
        <v>0.9</v>
      </c>
      <c r="AM93" s="66">
        <v>0.75</v>
      </c>
      <c r="AN93" s="66">
        <v>0.9</v>
      </c>
      <c r="AO93" s="66">
        <v>0.1</v>
      </c>
      <c r="AP93" s="66">
        <v>0.1</v>
      </c>
      <c r="AQ93" s="65">
        <f t="shared" si="279"/>
        <v>124.42725900000001</v>
      </c>
      <c r="AR93" s="65">
        <f t="shared" si="280"/>
        <v>233.02722375000002</v>
      </c>
      <c r="AS93" s="65">
        <f t="shared" si="281"/>
        <v>124.51792500000001</v>
      </c>
      <c r="AT93" s="65">
        <f t="shared" si="282"/>
        <v>2.7670650000000001</v>
      </c>
      <c r="AU93" s="65">
        <f t="shared" si="283"/>
        <v>0.46117750000000002</v>
      </c>
      <c r="AV93" s="65">
        <f t="shared" si="284"/>
        <v>13.825250999999994</v>
      </c>
      <c r="AW93" s="65">
        <f t="shared" si="285"/>
        <v>77.675741249999987</v>
      </c>
      <c r="AX93" s="65">
        <f t="shared" si="286"/>
        <v>13.835324999999997</v>
      </c>
      <c r="AY93" s="65">
        <f t="shared" si="287"/>
        <v>24.903585</v>
      </c>
      <c r="AZ93" s="65">
        <f t="shared" si="288"/>
        <v>4.1505974999999999</v>
      </c>
      <c r="BA93" s="67">
        <f t="shared" si="289"/>
        <v>140.6199</v>
      </c>
      <c r="BB93" s="67">
        <f t="shared" si="290"/>
        <v>316.39477500000004</v>
      </c>
      <c r="BC93" s="67">
        <f t="shared" si="291"/>
        <v>140.6199</v>
      </c>
      <c r="BD93" s="68">
        <f t="shared" si="292"/>
        <v>28.12398</v>
      </c>
      <c r="BE93" s="68">
        <f t="shared" si="293"/>
        <v>4.6873300000000002</v>
      </c>
      <c r="BF93" s="67">
        <f t="shared" si="294"/>
        <v>15.235610999999995</v>
      </c>
      <c r="BG93" s="67">
        <f t="shared" si="295"/>
        <v>81.75571124999999</v>
      </c>
      <c r="BH93" s="67">
        <f t="shared" si="296"/>
        <v>15.346424999999998</v>
      </c>
      <c r="BI93" s="68">
        <f t="shared" si="297"/>
        <v>25.356915000000001</v>
      </c>
      <c r="BJ93" s="68">
        <f t="shared" si="298"/>
        <v>4.2261524999999995</v>
      </c>
      <c r="BK93" s="67">
        <f t="shared" si="299"/>
        <v>125.38428900000001</v>
      </c>
      <c r="BL93" s="67">
        <f t="shared" si="300"/>
        <v>234.63906375000002</v>
      </c>
      <c r="BM93" s="67">
        <f t="shared" si="301"/>
        <v>125.273475</v>
      </c>
      <c r="BN93" s="68">
        <f t="shared" si="302"/>
        <v>2.7670650000000001</v>
      </c>
      <c r="BO93" s="187">
        <f t="shared" si="303"/>
        <v>0.46117750000000002</v>
      </c>
      <c r="BP93" s="157"/>
      <c r="BQ93" s="148"/>
      <c r="BR93" s="148"/>
      <c r="BS93" s="148"/>
      <c r="BT93" s="148"/>
      <c r="BU93" s="148"/>
      <c r="BV93" s="151">
        <v>161035</v>
      </c>
      <c r="BW93" s="150">
        <f>BV93+ROUND(BV93*$BW$6,2)</f>
        <v>169086.75</v>
      </c>
      <c r="BX93" s="150">
        <f t="shared" si="322"/>
        <v>194280.68</v>
      </c>
      <c r="BY93" s="150">
        <f t="shared" si="323"/>
        <v>195057.8</v>
      </c>
      <c r="BZ93" s="155">
        <f t="shared" si="324"/>
        <v>199544.12999999998</v>
      </c>
      <c r="CA93" s="179">
        <f t="shared" si="324"/>
        <v>204133.63999999998</v>
      </c>
      <c r="CB93" s="203">
        <f t="shared" si="304"/>
        <v>19392.695799999998</v>
      </c>
      <c r="CC93" s="198">
        <f t="shared" si="325"/>
        <v>208828.71</v>
      </c>
      <c r="CD93" s="206">
        <f t="shared" si="305"/>
        <v>19838.727449999998</v>
      </c>
      <c r="CE93" s="150">
        <f t="shared" si="326"/>
        <v>213631.77</v>
      </c>
      <c r="CF93" s="206">
        <f t="shared" si="306"/>
        <v>20295.01815</v>
      </c>
      <c r="CG93" s="150">
        <f t="shared" si="327"/>
        <v>218545.3</v>
      </c>
      <c r="CH93" s="206">
        <f t="shared" si="307"/>
        <v>20761.803499999998</v>
      </c>
      <c r="CI93" s="150">
        <f t="shared" si="328"/>
        <v>223571.84</v>
      </c>
      <c r="CJ93" s="206">
        <f t="shared" si="308"/>
        <v>21239.324799999999</v>
      </c>
      <c r="CK93" s="150">
        <f t="shared" si="329"/>
        <v>228713.99</v>
      </c>
      <c r="CL93" s="206">
        <f t="shared" si="309"/>
        <v>21727.82905</v>
      </c>
      <c r="CM93" s="150">
        <f t="shared" si="330"/>
        <v>233974.41</v>
      </c>
      <c r="CN93" s="150">
        <f t="shared" si="331"/>
        <v>239355.82</v>
      </c>
      <c r="CO93" s="157"/>
      <c r="CP93" s="148"/>
      <c r="CQ93" s="148"/>
      <c r="CR93" s="148"/>
      <c r="CS93" s="148"/>
      <c r="CT93" s="148"/>
      <c r="CU93" s="151">
        <v>0</v>
      </c>
      <c r="CV93" s="150">
        <f>CU93+ROUND(CU93*CV$6,2)</f>
        <v>0</v>
      </c>
      <c r="CW93" s="150">
        <f t="shared" ref="CW93:DG93" si="350">CV93+ROUND(CV93*CW$6,2)</f>
        <v>0</v>
      </c>
      <c r="CX93" s="150">
        <f t="shared" si="350"/>
        <v>0</v>
      </c>
      <c r="CY93" s="150">
        <f t="shared" si="350"/>
        <v>0</v>
      </c>
      <c r="CZ93" s="155">
        <f t="shared" si="350"/>
        <v>0</v>
      </c>
      <c r="DA93" s="155">
        <f t="shared" si="350"/>
        <v>0</v>
      </c>
      <c r="DB93" s="155">
        <f t="shared" si="350"/>
        <v>0</v>
      </c>
      <c r="DC93" s="155">
        <f t="shared" si="350"/>
        <v>0</v>
      </c>
      <c r="DD93" s="155">
        <f t="shared" si="350"/>
        <v>0</v>
      </c>
      <c r="DE93" s="155">
        <f t="shared" si="350"/>
        <v>0</v>
      </c>
      <c r="DF93" s="155">
        <f t="shared" si="350"/>
        <v>0</v>
      </c>
      <c r="DG93" s="155">
        <f t="shared" si="350"/>
        <v>0</v>
      </c>
      <c r="DH93" s="236">
        <v>0</v>
      </c>
      <c r="DI93" s="243">
        <f t="shared" si="311"/>
        <v>204133.63999999998</v>
      </c>
      <c r="DJ93" s="248">
        <f t="shared" si="312"/>
        <v>1479.2292753623187</v>
      </c>
      <c r="DK93" s="382">
        <f>CA93/'1.piel'!M92</f>
        <v>1479.2292753623187</v>
      </c>
      <c r="DL93">
        <f>DH93/'1.piel'!G92</f>
        <v>0</v>
      </c>
    </row>
    <row r="94" spans="2:116" x14ac:dyDescent="0.25">
      <c r="B94" s="52">
        <v>42</v>
      </c>
      <c r="C94" s="53" t="s">
        <v>84</v>
      </c>
      <c r="D94" s="36" t="s">
        <v>270</v>
      </c>
      <c r="E94" s="110">
        <v>3852</v>
      </c>
      <c r="F94" s="178">
        <v>4398</v>
      </c>
      <c r="G94" s="36">
        <v>0</v>
      </c>
      <c r="H94" s="99">
        <f t="shared" si="252"/>
        <v>4398</v>
      </c>
      <c r="I94" s="94">
        <f t="shared" si="240"/>
        <v>1</v>
      </c>
      <c r="J94" s="89">
        <v>4398</v>
      </c>
      <c r="K94" s="98">
        <f t="shared" si="241"/>
        <v>0</v>
      </c>
      <c r="L94" s="99">
        <f t="shared" si="253"/>
        <v>0</v>
      </c>
      <c r="M94" s="174">
        <f t="shared" si="254"/>
        <v>0</v>
      </c>
      <c r="N94" s="64">
        <f t="shared" si="255"/>
        <v>0</v>
      </c>
      <c r="O94" s="64">
        <f t="shared" si="256"/>
        <v>0</v>
      </c>
      <c r="P94" s="64">
        <f t="shared" si="257"/>
        <v>0</v>
      </c>
      <c r="Q94" s="64">
        <f t="shared" si="258"/>
        <v>0</v>
      </c>
      <c r="R94" s="64">
        <f t="shared" si="259"/>
        <v>0</v>
      </c>
      <c r="S94" s="64">
        <f t="shared" si="260"/>
        <v>0</v>
      </c>
      <c r="T94" s="64">
        <f t="shared" si="261"/>
        <v>0</v>
      </c>
      <c r="U94" s="64">
        <f t="shared" si="262"/>
        <v>0</v>
      </c>
      <c r="V94" s="64">
        <f t="shared" si="263"/>
        <v>0</v>
      </c>
      <c r="W94" s="64">
        <f t="shared" si="264"/>
        <v>0</v>
      </c>
      <c r="X94" s="64">
        <f t="shared" si="265"/>
        <v>0</v>
      </c>
      <c r="Y94" s="64">
        <f t="shared" si="266"/>
        <v>0</v>
      </c>
      <c r="Z94" s="64">
        <f t="shared" si="267"/>
        <v>0</v>
      </c>
      <c r="AA94" s="64">
        <f t="shared" si="268"/>
        <v>0</v>
      </c>
      <c r="AB94" s="64">
        <f t="shared" si="269"/>
        <v>0</v>
      </c>
      <c r="AC94" s="64">
        <f t="shared" si="270"/>
        <v>0</v>
      </c>
      <c r="AD94" s="64">
        <f t="shared" si="271"/>
        <v>0</v>
      </c>
      <c r="AE94" s="64">
        <f t="shared" si="272"/>
        <v>0</v>
      </c>
      <c r="AF94" s="64">
        <f t="shared" si="273"/>
        <v>0</v>
      </c>
      <c r="AG94" s="65">
        <f t="shared" si="274"/>
        <v>96.316199999999995</v>
      </c>
      <c r="AH94" s="65">
        <f t="shared" si="275"/>
        <v>216.71145000000001</v>
      </c>
      <c r="AI94" s="65">
        <f t="shared" si="276"/>
        <v>96.316199999999995</v>
      </c>
      <c r="AJ94" s="65">
        <f t="shared" si="277"/>
        <v>19.26324</v>
      </c>
      <c r="AK94" s="65">
        <f t="shared" si="278"/>
        <v>3.2105399999999999</v>
      </c>
      <c r="AL94" s="66">
        <v>0.9</v>
      </c>
      <c r="AM94" s="66">
        <v>0.75</v>
      </c>
      <c r="AN94" s="66">
        <v>0.9</v>
      </c>
      <c r="AO94" s="66">
        <v>0.1</v>
      </c>
      <c r="AP94" s="66">
        <v>0.1</v>
      </c>
      <c r="AQ94" s="65">
        <f t="shared" si="279"/>
        <v>86.684579999999997</v>
      </c>
      <c r="AR94" s="65">
        <f t="shared" si="280"/>
        <v>162.53358750000001</v>
      </c>
      <c r="AS94" s="65">
        <f t="shared" si="281"/>
        <v>86.684579999999997</v>
      </c>
      <c r="AT94" s="65">
        <f t="shared" si="282"/>
        <v>1.9263240000000001</v>
      </c>
      <c r="AU94" s="65">
        <f t="shared" si="283"/>
        <v>0.32105400000000001</v>
      </c>
      <c r="AV94" s="65">
        <f t="shared" si="284"/>
        <v>9.6316199999999981</v>
      </c>
      <c r="AW94" s="65">
        <f t="shared" si="285"/>
        <v>54.177862500000003</v>
      </c>
      <c r="AX94" s="65">
        <f t="shared" si="286"/>
        <v>9.6316199999999981</v>
      </c>
      <c r="AY94" s="65">
        <f t="shared" si="287"/>
        <v>17.336915999999999</v>
      </c>
      <c r="AZ94" s="65">
        <f t="shared" si="288"/>
        <v>2.8894859999999998</v>
      </c>
      <c r="BA94" s="67">
        <f t="shared" si="289"/>
        <v>96.316199999999995</v>
      </c>
      <c r="BB94" s="67">
        <f t="shared" si="290"/>
        <v>216.71145000000001</v>
      </c>
      <c r="BC94" s="67">
        <f t="shared" si="291"/>
        <v>96.316199999999995</v>
      </c>
      <c r="BD94" s="68">
        <f t="shared" si="292"/>
        <v>19.26324</v>
      </c>
      <c r="BE94" s="68">
        <f t="shared" si="293"/>
        <v>3.2105399999999999</v>
      </c>
      <c r="BF94" s="67">
        <f t="shared" si="294"/>
        <v>9.6316199999999981</v>
      </c>
      <c r="BG94" s="67">
        <f t="shared" si="295"/>
        <v>54.177862500000003</v>
      </c>
      <c r="BH94" s="67">
        <f t="shared" si="296"/>
        <v>9.6316199999999981</v>
      </c>
      <c r="BI94" s="68">
        <f t="shared" si="297"/>
        <v>17.336915999999999</v>
      </c>
      <c r="BJ94" s="68">
        <f t="shared" si="298"/>
        <v>2.8894859999999998</v>
      </c>
      <c r="BK94" s="67">
        <f t="shared" si="299"/>
        <v>86.684579999999997</v>
      </c>
      <c r="BL94" s="67">
        <f t="shared" si="300"/>
        <v>162.53358750000001</v>
      </c>
      <c r="BM94" s="67">
        <f t="shared" si="301"/>
        <v>86.684579999999997</v>
      </c>
      <c r="BN94" s="68">
        <f t="shared" si="302"/>
        <v>1.9263240000000001</v>
      </c>
      <c r="BO94" s="187">
        <f t="shared" si="303"/>
        <v>0.32105400000000001</v>
      </c>
      <c r="BP94" s="157"/>
      <c r="BQ94" s="148"/>
      <c r="BR94" s="148"/>
      <c r="BS94" s="148"/>
      <c r="BT94" s="148"/>
      <c r="BU94" s="148"/>
      <c r="BV94" s="151">
        <v>0</v>
      </c>
      <c r="BW94" s="150">
        <f>BV94+ROUND(BV94*$BW$6,2)</f>
        <v>0</v>
      </c>
      <c r="BX94" s="150">
        <f t="shared" si="322"/>
        <v>0</v>
      </c>
      <c r="BY94" s="150">
        <f t="shared" si="323"/>
        <v>0</v>
      </c>
      <c r="BZ94" s="155">
        <f t="shared" si="324"/>
        <v>0</v>
      </c>
      <c r="CA94" s="179">
        <f t="shared" si="324"/>
        <v>0</v>
      </c>
      <c r="CB94" s="203">
        <f t="shared" si="304"/>
        <v>0</v>
      </c>
      <c r="CC94" s="198">
        <f t="shared" si="325"/>
        <v>0</v>
      </c>
      <c r="CD94" s="206">
        <f t="shared" si="305"/>
        <v>0</v>
      </c>
      <c r="CE94" s="150">
        <f t="shared" si="326"/>
        <v>0</v>
      </c>
      <c r="CF94" s="206">
        <f t="shared" si="306"/>
        <v>0</v>
      </c>
      <c r="CG94" s="150">
        <f t="shared" si="327"/>
        <v>0</v>
      </c>
      <c r="CH94" s="206">
        <f t="shared" si="307"/>
        <v>0</v>
      </c>
      <c r="CI94" s="150">
        <f t="shared" si="328"/>
        <v>0</v>
      </c>
      <c r="CJ94" s="206">
        <f t="shared" si="308"/>
        <v>0</v>
      </c>
      <c r="CK94" s="150">
        <f t="shared" si="329"/>
        <v>0</v>
      </c>
      <c r="CL94" s="206">
        <f t="shared" si="309"/>
        <v>0</v>
      </c>
      <c r="CM94" s="150">
        <f t="shared" si="330"/>
        <v>0</v>
      </c>
      <c r="CN94" s="150">
        <f t="shared" si="331"/>
        <v>0</v>
      </c>
      <c r="CO94" s="157"/>
      <c r="CP94" s="148"/>
      <c r="CQ94" s="148"/>
      <c r="CR94" s="148"/>
      <c r="CS94" s="148"/>
      <c r="CT94" s="148"/>
      <c r="CU94" s="151">
        <v>0</v>
      </c>
      <c r="CV94" s="150">
        <f>CU94+ROUND(CU94*CV$6,2)</f>
        <v>0</v>
      </c>
      <c r="CW94" s="150">
        <f t="shared" ref="CW94:DG94" si="351">CV94+ROUND(CV94*CW$6,2)</f>
        <v>0</v>
      </c>
      <c r="CX94" s="150">
        <f t="shared" si="351"/>
        <v>0</v>
      </c>
      <c r="CY94" s="150">
        <f t="shared" si="351"/>
        <v>0</v>
      </c>
      <c r="CZ94" s="155">
        <f t="shared" si="351"/>
        <v>0</v>
      </c>
      <c r="DA94" s="155">
        <f t="shared" si="351"/>
        <v>0</v>
      </c>
      <c r="DB94" s="155">
        <f t="shared" si="351"/>
        <v>0</v>
      </c>
      <c r="DC94" s="155">
        <f t="shared" si="351"/>
        <v>0</v>
      </c>
      <c r="DD94" s="155">
        <f t="shared" si="351"/>
        <v>0</v>
      </c>
      <c r="DE94" s="155">
        <f t="shared" si="351"/>
        <v>0</v>
      </c>
      <c r="DF94" s="155">
        <f t="shared" si="351"/>
        <v>0</v>
      </c>
      <c r="DG94" s="155">
        <f t="shared" si="351"/>
        <v>0</v>
      </c>
      <c r="DH94" s="236">
        <v>0</v>
      </c>
      <c r="DI94" s="243">
        <f t="shared" si="311"/>
        <v>0</v>
      </c>
      <c r="DJ94" s="248">
        <f t="shared" si="312"/>
        <v>0</v>
      </c>
      <c r="DK94" s="382">
        <v>0</v>
      </c>
      <c r="DL94">
        <f>DH94/'1.piel'!G93</f>
        <v>0</v>
      </c>
    </row>
    <row r="95" spans="2:116" x14ac:dyDescent="0.25">
      <c r="B95" s="52">
        <v>44</v>
      </c>
      <c r="C95" s="53" t="s">
        <v>89</v>
      </c>
      <c r="D95" s="36" t="s">
        <v>270</v>
      </c>
      <c r="E95" s="110">
        <v>3766</v>
      </c>
      <c r="F95" s="178">
        <v>4263</v>
      </c>
      <c r="G95" s="36">
        <v>320</v>
      </c>
      <c r="H95" s="99">
        <f t="shared" si="252"/>
        <v>4583</v>
      </c>
      <c r="I95" s="94">
        <f t="shared" si="240"/>
        <v>0.96152943936195168</v>
      </c>
      <c r="J95" s="89">
        <v>4099</v>
      </c>
      <c r="K95" s="98">
        <f t="shared" si="241"/>
        <v>3.8470560638048323E-2</v>
      </c>
      <c r="L95" s="99">
        <f t="shared" si="253"/>
        <v>164</v>
      </c>
      <c r="M95" s="174">
        <f t="shared" si="254"/>
        <v>3.5916000000000001</v>
      </c>
      <c r="N95" s="64">
        <f t="shared" si="255"/>
        <v>8.0810999999999993</v>
      </c>
      <c r="O95" s="64">
        <f t="shared" si="256"/>
        <v>3.5916000000000001</v>
      </c>
      <c r="P95" s="64">
        <f t="shared" si="257"/>
        <v>0.71831999999999996</v>
      </c>
      <c r="Q95" s="64">
        <f t="shared" si="258"/>
        <v>0.11971999999999999</v>
      </c>
      <c r="R95" s="64">
        <f t="shared" si="259"/>
        <v>0.77817999999999998</v>
      </c>
      <c r="S95" s="64">
        <f t="shared" si="260"/>
        <v>1.3169200000000001</v>
      </c>
      <c r="T95" s="64">
        <f t="shared" si="261"/>
        <v>0.89790000000000003</v>
      </c>
      <c r="U95" s="64">
        <f t="shared" si="262"/>
        <v>0.17957999999999999</v>
      </c>
      <c r="V95" s="64">
        <f t="shared" si="263"/>
        <v>2.9929999999999998E-2</v>
      </c>
      <c r="W95" s="64">
        <f t="shared" si="264"/>
        <v>1.13734</v>
      </c>
      <c r="X95" s="64">
        <f t="shared" si="265"/>
        <v>1.9155199999999999</v>
      </c>
      <c r="Y95" s="64">
        <f t="shared" si="266"/>
        <v>0.89790000000000003</v>
      </c>
      <c r="Z95" s="64">
        <f t="shared" si="267"/>
        <v>0</v>
      </c>
      <c r="AA95" s="64">
        <f t="shared" si="268"/>
        <v>0</v>
      </c>
      <c r="AB95" s="64">
        <f t="shared" si="269"/>
        <v>1.67608</v>
      </c>
      <c r="AC95" s="64">
        <f t="shared" si="270"/>
        <v>4.8486599999999997</v>
      </c>
      <c r="AD95" s="64">
        <f t="shared" si="271"/>
        <v>1.7958000000000001</v>
      </c>
      <c r="AE95" s="64">
        <f t="shared" si="272"/>
        <v>0.53874</v>
      </c>
      <c r="AF95" s="64">
        <f t="shared" si="273"/>
        <v>8.9789999999999995E-2</v>
      </c>
      <c r="AG95" s="65">
        <f t="shared" si="274"/>
        <v>96.7761</v>
      </c>
      <c r="AH95" s="65">
        <f t="shared" si="275"/>
        <v>217.74622500000001</v>
      </c>
      <c r="AI95" s="65">
        <f t="shared" si="276"/>
        <v>96.7761</v>
      </c>
      <c r="AJ95" s="65">
        <f t="shared" si="277"/>
        <v>19.355219999999999</v>
      </c>
      <c r="AK95" s="65">
        <f t="shared" si="278"/>
        <v>3.22587</v>
      </c>
      <c r="AL95" s="66">
        <v>0.9</v>
      </c>
      <c r="AM95" s="66">
        <v>0.75</v>
      </c>
      <c r="AN95" s="66">
        <v>0.9</v>
      </c>
      <c r="AO95" s="66">
        <v>0.1</v>
      </c>
      <c r="AP95" s="66">
        <v>0.1</v>
      </c>
      <c r="AQ95" s="65">
        <f t="shared" si="279"/>
        <v>87.798852000000011</v>
      </c>
      <c r="AR95" s="65">
        <f t="shared" si="280"/>
        <v>164.29735875</v>
      </c>
      <c r="AS95" s="65">
        <f t="shared" si="281"/>
        <v>87.906600000000012</v>
      </c>
      <c r="AT95" s="65">
        <f t="shared" si="282"/>
        <v>1.9534800000000001</v>
      </c>
      <c r="AU95" s="65">
        <f t="shared" si="283"/>
        <v>0.32557999999999998</v>
      </c>
      <c r="AV95" s="65">
        <f t="shared" si="284"/>
        <v>9.7554279999999949</v>
      </c>
      <c r="AW95" s="65">
        <f t="shared" si="285"/>
        <v>54.765786250000019</v>
      </c>
      <c r="AX95" s="65">
        <f t="shared" si="286"/>
        <v>9.767399999999995</v>
      </c>
      <c r="AY95" s="65">
        <f t="shared" si="287"/>
        <v>17.581320000000002</v>
      </c>
      <c r="AZ95" s="65">
        <f t="shared" si="288"/>
        <v>2.9302199999999998</v>
      </c>
      <c r="BA95" s="67">
        <f t="shared" si="289"/>
        <v>100.3677</v>
      </c>
      <c r="BB95" s="67">
        <f t="shared" si="290"/>
        <v>225.827325</v>
      </c>
      <c r="BC95" s="67">
        <f t="shared" si="291"/>
        <v>100.3677</v>
      </c>
      <c r="BD95" s="68">
        <f t="shared" si="292"/>
        <v>20.073539999999998</v>
      </c>
      <c r="BE95" s="68">
        <f t="shared" si="293"/>
        <v>3.3455900000000001</v>
      </c>
      <c r="BF95" s="67">
        <f t="shared" si="294"/>
        <v>11.431507999999996</v>
      </c>
      <c r="BG95" s="67">
        <f t="shared" si="295"/>
        <v>59.614446250000022</v>
      </c>
      <c r="BH95" s="67">
        <f t="shared" si="296"/>
        <v>11.563199999999995</v>
      </c>
      <c r="BI95" s="68">
        <f t="shared" si="297"/>
        <v>18.120060000000002</v>
      </c>
      <c r="BJ95" s="68">
        <f t="shared" si="298"/>
        <v>3.0200099999999996</v>
      </c>
      <c r="BK95" s="67">
        <f t="shared" si="299"/>
        <v>88.936192000000005</v>
      </c>
      <c r="BL95" s="67">
        <f t="shared" si="300"/>
        <v>166.21287874999999</v>
      </c>
      <c r="BM95" s="67">
        <f t="shared" si="301"/>
        <v>88.804500000000019</v>
      </c>
      <c r="BN95" s="68">
        <f t="shared" si="302"/>
        <v>1.9534800000000001</v>
      </c>
      <c r="BO95" s="187">
        <f t="shared" si="303"/>
        <v>0.32557999999999998</v>
      </c>
      <c r="BP95" s="157"/>
      <c r="BQ95" s="148"/>
      <c r="BR95" s="148"/>
      <c r="BS95" s="148"/>
      <c r="BT95" s="148"/>
      <c r="BU95" s="148"/>
      <c r="BV95" s="151">
        <v>98050</v>
      </c>
      <c r="BW95" s="150">
        <f>BV95+ROUND(BV95*$BW$6,2)</f>
        <v>102952.5</v>
      </c>
      <c r="BX95" s="150">
        <f t="shared" si="322"/>
        <v>118292.42</v>
      </c>
      <c r="BY95" s="150">
        <f t="shared" si="323"/>
        <v>118765.59</v>
      </c>
      <c r="BZ95" s="155">
        <f t="shared" si="324"/>
        <v>121497.2</v>
      </c>
      <c r="CA95" s="179">
        <f t="shared" si="324"/>
        <v>124291.64</v>
      </c>
      <c r="CB95" s="203">
        <f t="shared" si="304"/>
        <v>11807.7058</v>
      </c>
      <c r="CC95" s="198">
        <f t="shared" si="325"/>
        <v>127150.35</v>
      </c>
      <c r="CD95" s="206">
        <f t="shared" si="305"/>
        <v>12079.28325</v>
      </c>
      <c r="CE95" s="150">
        <f t="shared" si="326"/>
        <v>130074.81000000001</v>
      </c>
      <c r="CF95" s="206">
        <f t="shared" si="306"/>
        <v>12357.106950000001</v>
      </c>
      <c r="CG95" s="150">
        <f t="shared" si="327"/>
        <v>133066.53</v>
      </c>
      <c r="CH95" s="206">
        <f t="shared" si="307"/>
        <v>12641.32035</v>
      </c>
      <c r="CI95" s="150">
        <f t="shared" si="328"/>
        <v>136127.06</v>
      </c>
      <c r="CJ95" s="206">
        <f t="shared" si="308"/>
        <v>12932.0707</v>
      </c>
      <c r="CK95" s="150">
        <f t="shared" si="329"/>
        <v>139257.98000000001</v>
      </c>
      <c r="CL95" s="206">
        <f t="shared" si="309"/>
        <v>13229.508100000001</v>
      </c>
      <c r="CM95" s="150">
        <f t="shared" si="330"/>
        <v>142460.91</v>
      </c>
      <c r="CN95" s="150">
        <f t="shared" si="331"/>
        <v>145737.51</v>
      </c>
      <c r="CO95" s="157"/>
      <c r="CP95" s="148"/>
      <c r="CQ95" s="148"/>
      <c r="CR95" s="148"/>
      <c r="CS95" s="148"/>
      <c r="CT95" s="148"/>
      <c r="CU95" s="151">
        <v>257190</v>
      </c>
      <c r="CV95" s="150">
        <f>CU95+ROUND(CU95*CV$6,2)</f>
        <v>270049.5</v>
      </c>
      <c r="CW95" s="150">
        <f t="shared" ref="CW95:DG95" si="352">CV95+ROUND(CV95*CW$6,2)</f>
        <v>310286.88</v>
      </c>
      <c r="CX95" s="150">
        <f t="shared" si="352"/>
        <v>311528.03000000003</v>
      </c>
      <c r="CY95" s="150">
        <f t="shared" si="352"/>
        <v>318693.17000000004</v>
      </c>
      <c r="CZ95" s="155">
        <f t="shared" si="352"/>
        <v>326660.50000000006</v>
      </c>
      <c r="DA95" s="155">
        <f t="shared" si="352"/>
        <v>334827.01000000007</v>
      </c>
      <c r="DB95" s="155">
        <f t="shared" si="352"/>
        <v>343197.69000000006</v>
      </c>
      <c r="DC95" s="155">
        <f t="shared" si="352"/>
        <v>351777.63000000006</v>
      </c>
      <c r="DD95" s="155">
        <f t="shared" si="352"/>
        <v>360572.07000000007</v>
      </c>
      <c r="DE95" s="155">
        <f t="shared" si="352"/>
        <v>369586.37000000005</v>
      </c>
      <c r="DF95" s="155">
        <f t="shared" si="352"/>
        <v>378826.03</v>
      </c>
      <c r="DG95" s="155">
        <f t="shared" si="352"/>
        <v>388296.68000000005</v>
      </c>
      <c r="DH95" s="236">
        <v>0</v>
      </c>
      <c r="DI95" s="243">
        <f t="shared" si="311"/>
        <v>124291.64</v>
      </c>
      <c r="DJ95" s="248">
        <f t="shared" si="312"/>
        <v>757.87585365853658</v>
      </c>
      <c r="DK95" s="382">
        <f>CA95/'1.piel'!M94</f>
        <v>757.87585365853658</v>
      </c>
      <c r="DL95">
        <f>DH95/'1.piel'!G94</f>
        <v>0</v>
      </c>
    </row>
    <row r="96" spans="2:116" x14ac:dyDescent="0.25">
      <c r="B96" s="52">
        <v>53</v>
      </c>
      <c r="C96" s="53" t="s">
        <v>88</v>
      </c>
      <c r="D96" s="40" t="s">
        <v>270</v>
      </c>
      <c r="E96" s="110">
        <v>3003</v>
      </c>
      <c r="F96" s="178">
        <v>2836</v>
      </c>
      <c r="G96" s="36">
        <v>25</v>
      </c>
      <c r="H96" s="99">
        <f t="shared" si="252"/>
        <v>2861</v>
      </c>
      <c r="I96" s="94">
        <f t="shared" si="240"/>
        <v>0.94781382228490829</v>
      </c>
      <c r="J96" s="89">
        <v>2688</v>
      </c>
      <c r="K96" s="98">
        <f t="shared" si="241"/>
        <v>5.2186177715091681E-2</v>
      </c>
      <c r="L96" s="99">
        <f t="shared" si="253"/>
        <v>148</v>
      </c>
      <c r="M96" s="174">
        <f t="shared" si="254"/>
        <v>3.2412000000000001</v>
      </c>
      <c r="N96" s="64">
        <f t="shared" si="255"/>
        <v>7.2927</v>
      </c>
      <c r="O96" s="64">
        <f t="shared" si="256"/>
        <v>3.2412000000000001</v>
      </c>
      <c r="P96" s="64">
        <f t="shared" si="257"/>
        <v>0.64824000000000004</v>
      </c>
      <c r="Q96" s="64">
        <f t="shared" si="258"/>
        <v>0.10804</v>
      </c>
      <c r="R96" s="64">
        <f t="shared" si="259"/>
        <v>0.70226</v>
      </c>
      <c r="S96" s="64">
        <f t="shared" si="260"/>
        <v>1.1884399999999999</v>
      </c>
      <c r="T96" s="64">
        <f t="shared" si="261"/>
        <v>0.81030000000000002</v>
      </c>
      <c r="U96" s="64">
        <f t="shared" si="262"/>
        <v>0.16206000000000001</v>
      </c>
      <c r="V96" s="64">
        <f t="shared" si="263"/>
        <v>2.7009999999999999E-2</v>
      </c>
      <c r="W96" s="64">
        <f t="shared" si="264"/>
        <v>1.0263800000000001</v>
      </c>
      <c r="X96" s="64">
        <f t="shared" si="265"/>
        <v>1.72864</v>
      </c>
      <c r="Y96" s="64">
        <f t="shared" si="266"/>
        <v>0.81030000000000002</v>
      </c>
      <c r="Z96" s="64">
        <f t="shared" si="267"/>
        <v>0</v>
      </c>
      <c r="AA96" s="64">
        <f t="shared" si="268"/>
        <v>0</v>
      </c>
      <c r="AB96" s="64">
        <f t="shared" si="269"/>
        <v>1.5125599999999999</v>
      </c>
      <c r="AC96" s="64">
        <f t="shared" si="270"/>
        <v>4.3756199999999996</v>
      </c>
      <c r="AD96" s="64">
        <f t="shared" si="271"/>
        <v>1.6206</v>
      </c>
      <c r="AE96" s="64">
        <f t="shared" si="272"/>
        <v>0.48618</v>
      </c>
      <c r="AF96" s="64">
        <f t="shared" si="273"/>
        <v>8.1030000000000005E-2</v>
      </c>
      <c r="AG96" s="65">
        <f t="shared" si="274"/>
        <v>59.414700000000003</v>
      </c>
      <c r="AH96" s="65">
        <f t="shared" si="275"/>
        <v>133.683075</v>
      </c>
      <c r="AI96" s="65">
        <f t="shared" si="276"/>
        <v>59.414700000000003</v>
      </c>
      <c r="AJ96" s="65">
        <f t="shared" si="277"/>
        <v>11.88294</v>
      </c>
      <c r="AK96" s="65">
        <f t="shared" si="278"/>
        <v>1.9804900000000001</v>
      </c>
      <c r="AL96" s="66">
        <v>0.9</v>
      </c>
      <c r="AM96" s="66">
        <v>0.75</v>
      </c>
      <c r="AN96" s="66">
        <v>0.9</v>
      </c>
      <c r="AO96" s="66">
        <v>0.1</v>
      </c>
      <c r="AP96" s="66">
        <v>0.1</v>
      </c>
      <c r="AQ96" s="65">
        <f t="shared" si="279"/>
        <v>54.105264000000005</v>
      </c>
      <c r="AR96" s="65">
        <f t="shared" si="280"/>
        <v>101.15363624999999</v>
      </c>
      <c r="AS96" s="65">
        <f t="shared" si="281"/>
        <v>54.202500000000001</v>
      </c>
      <c r="AT96" s="65">
        <f t="shared" si="282"/>
        <v>1.2045000000000001</v>
      </c>
      <c r="AU96" s="65">
        <f t="shared" si="283"/>
        <v>0.20075000000000004</v>
      </c>
      <c r="AV96" s="65">
        <f t="shared" si="284"/>
        <v>6.0116960000000006</v>
      </c>
      <c r="AW96" s="65">
        <f t="shared" si="285"/>
        <v>33.717878749999997</v>
      </c>
      <c r="AX96" s="65">
        <f t="shared" si="286"/>
        <v>6.0225000000000009</v>
      </c>
      <c r="AY96" s="65">
        <f t="shared" si="287"/>
        <v>10.8405</v>
      </c>
      <c r="AZ96" s="65">
        <f t="shared" si="288"/>
        <v>1.8067500000000003</v>
      </c>
      <c r="BA96" s="67">
        <f t="shared" si="289"/>
        <v>62.655900000000003</v>
      </c>
      <c r="BB96" s="67">
        <f t="shared" si="290"/>
        <v>140.975775</v>
      </c>
      <c r="BC96" s="67">
        <f t="shared" si="291"/>
        <v>62.655900000000003</v>
      </c>
      <c r="BD96" s="68">
        <f t="shared" si="292"/>
        <v>12.531179999999999</v>
      </c>
      <c r="BE96" s="68">
        <f t="shared" si="293"/>
        <v>2.08853</v>
      </c>
      <c r="BF96" s="67">
        <f t="shared" si="294"/>
        <v>7.5242560000000003</v>
      </c>
      <c r="BG96" s="67">
        <f t="shared" si="295"/>
        <v>38.093498749999995</v>
      </c>
      <c r="BH96" s="67">
        <f t="shared" si="296"/>
        <v>7.6431000000000004</v>
      </c>
      <c r="BI96" s="68">
        <f t="shared" si="297"/>
        <v>11.32668</v>
      </c>
      <c r="BJ96" s="68">
        <f t="shared" si="298"/>
        <v>1.8877800000000002</v>
      </c>
      <c r="BK96" s="67">
        <f t="shared" si="299"/>
        <v>55.131644000000009</v>
      </c>
      <c r="BL96" s="67">
        <f t="shared" si="300"/>
        <v>102.88227624999999</v>
      </c>
      <c r="BM96" s="67">
        <f t="shared" si="301"/>
        <v>55.012799999999999</v>
      </c>
      <c r="BN96" s="68">
        <f t="shared" si="302"/>
        <v>1.2045000000000001</v>
      </c>
      <c r="BO96" s="187">
        <f t="shared" si="303"/>
        <v>0.20075000000000004</v>
      </c>
      <c r="BP96" s="158">
        <v>348000</v>
      </c>
      <c r="BQ96" s="150">
        <f>BP96+ROUND(BP96*BQ$6,2)</f>
        <v>370620</v>
      </c>
      <c r="BR96" s="150">
        <f>BQ96+ROUND(BQ96*BR$6,2)</f>
        <v>447708.96</v>
      </c>
      <c r="BS96" s="150">
        <f>BR96+ROUND(BR96*BS$6,2)</f>
        <v>565008.71</v>
      </c>
      <c r="BT96" s="150">
        <f>BS96+ROUND(BS96*BT$6,2)</f>
        <v>646369.96</v>
      </c>
      <c r="BU96" s="150">
        <f>BT96+ROUND(BT96*BU$6,2)</f>
        <v>591428.51</v>
      </c>
      <c r="BV96" s="150">
        <f>BU96+ROUND(BU96*$BV$6,2)</f>
        <v>529919.94000000006</v>
      </c>
      <c r="BW96" s="150">
        <f>BV96+ROUND(BV96*$BW$6,2)</f>
        <v>556415.94000000006</v>
      </c>
      <c r="BX96" s="150">
        <f t="shared" si="322"/>
        <v>639321.92000000004</v>
      </c>
      <c r="BY96" s="150">
        <f t="shared" si="323"/>
        <v>641879.21000000008</v>
      </c>
      <c r="BZ96" s="155">
        <f t="shared" si="324"/>
        <v>656642.43000000005</v>
      </c>
      <c r="CA96" s="179">
        <f t="shared" si="324"/>
        <v>671745.21000000008</v>
      </c>
      <c r="CB96" s="203">
        <f t="shared" si="304"/>
        <v>63815.79495000001</v>
      </c>
      <c r="CC96" s="198">
        <f t="shared" si="325"/>
        <v>687195.35000000009</v>
      </c>
      <c r="CD96" s="206">
        <f t="shared" si="305"/>
        <v>65283.558250000009</v>
      </c>
      <c r="CE96" s="150">
        <f t="shared" si="326"/>
        <v>703000.84000000008</v>
      </c>
      <c r="CF96" s="206">
        <f t="shared" si="306"/>
        <v>66785.079800000007</v>
      </c>
      <c r="CG96" s="150">
        <f t="shared" si="327"/>
        <v>719169.8600000001</v>
      </c>
      <c r="CH96" s="206">
        <f t="shared" si="307"/>
        <v>68321.136700000017</v>
      </c>
      <c r="CI96" s="150">
        <f t="shared" si="328"/>
        <v>735710.77000000014</v>
      </c>
      <c r="CJ96" s="206">
        <f t="shared" si="308"/>
        <v>69892.523150000008</v>
      </c>
      <c r="CK96" s="150">
        <f t="shared" si="329"/>
        <v>752632.12000000011</v>
      </c>
      <c r="CL96" s="206">
        <f t="shared" si="309"/>
        <v>71500.051400000011</v>
      </c>
      <c r="CM96" s="150">
        <f t="shared" si="330"/>
        <v>769942.66000000015</v>
      </c>
      <c r="CN96" s="150">
        <f t="shared" si="331"/>
        <v>787651.3400000002</v>
      </c>
      <c r="CO96" s="158">
        <v>267600</v>
      </c>
      <c r="CP96" s="150">
        <f t="shared" ref="CP96:CU96" si="353">CO96+ROUND(CO96*CP$6,2)</f>
        <v>284994</v>
      </c>
      <c r="CQ96" s="150">
        <f t="shared" si="353"/>
        <v>344272.75</v>
      </c>
      <c r="CR96" s="150">
        <f t="shared" si="353"/>
        <v>434472.21</v>
      </c>
      <c r="CS96" s="150">
        <f t="shared" si="353"/>
        <v>497036.21</v>
      </c>
      <c r="CT96" s="150">
        <f t="shared" si="353"/>
        <v>454788.13</v>
      </c>
      <c r="CU96" s="150">
        <f t="shared" si="353"/>
        <v>407490.16000000003</v>
      </c>
      <c r="CV96" s="150">
        <f>CU96+ROUND(CU96*CV$6,2)</f>
        <v>427864.67000000004</v>
      </c>
      <c r="CW96" s="150">
        <f t="shared" ref="CW96:DG96" si="354">CV96+ROUND(CV96*CW$6,2)</f>
        <v>491616.51</v>
      </c>
      <c r="CX96" s="150">
        <f t="shared" si="354"/>
        <v>493582.98</v>
      </c>
      <c r="CY96" s="150">
        <f t="shared" si="354"/>
        <v>504935.38999999996</v>
      </c>
      <c r="CZ96" s="155">
        <f t="shared" si="354"/>
        <v>517558.76999999996</v>
      </c>
      <c r="DA96" s="155">
        <f t="shared" si="354"/>
        <v>530497.74</v>
      </c>
      <c r="DB96" s="155">
        <f t="shared" si="354"/>
        <v>543760.17999999993</v>
      </c>
      <c r="DC96" s="155">
        <f t="shared" si="354"/>
        <v>557354.17999999993</v>
      </c>
      <c r="DD96" s="155">
        <f t="shared" si="354"/>
        <v>571288.02999999991</v>
      </c>
      <c r="DE96" s="155">
        <f t="shared" si="354"/>
        <v>585570.22999999986</v>
      </c>
      <c r="DF96" s="155">
        <f t="shared" si="354"/>
        <v>600209.48999999987</v>
      </c>
      <c r="DG96" s="155">
        <f t="shared" si="354"/>
        <v>615214.72999999986</v>
      </c>
      <c r="DH96" s="236">
        <v>0</v>
      </c>
      <c r="DI96" s="243">
        <f t="shared" si="311"/>
        <v>671745.21000000008</v>
      </c>
      <c r="DJ96" s="248">
        <f t="shared" si="312"/>
        <v>4538.8189864864871</v>
      </c>
      <c r="DK96" s="382">
        <f>CA96/'1.piel'!M95</f>
        <v>4538.8189864864871</v>
      </c>
      <c r="DL96">
        <f>DH96/'1.piel'!G95</f>
        <v>0</v>
      </c>
    </row>
    <row r="97" spans="2:116" x14ac:dyDescent="0.25">
      <c r="B97" s="52">
        <v>59</v>
      </c>
      <c r="C97" s="53" t="s">
        <v>8</v>
      </c>
      <c r="D97" s="36" t="s">
        <v>270</v>
      </c>
      <c r="E97" s="110">
        <v>2597</v>
      </c>
      <c r="F97" s="178">
        <v>2573</v>
      </c>
      <c r="G97" s="63">
        <v>165</v>
      </c>
      <c r="H97" s="99">
        <f t="shared" si="252"/>
        <v>2738</v>
      </c>
      <c r="I97" s="94">
        <f t="shared" si="240"/>
        <v>0.9242129809560824</v>
      </c>
      <c r="J97" s="89">
        <v>2378</v>
      </c>
      <c r="K97" s="98">
        <f t="shared" si="241"/>
        <v>7.5787019043917603E-2</v>
      </c>
      <c r="L97" s="99">
        <f t="shared" si="253"/>
        <v>195</v>
      </c>
      <c r="M97" s="174">
        <f t="shared" si="254"/>
        <v>4.2705000000000002</v>
      </c>
      <c r="N97" s="64">
        <f t="shared" si="255"/>
        <v>9.608625</v>
      </c>
      <c r="O97" s="64">
        <f t="shared" si="256"/>
        <v>4.2705000000000002</v>
      </c>
      <c r="P97" s="64">
        <f t="shared" si="257"/>
        <v>0.85409999999999997</v>
      </c>
      <c r="Q97" s="64">
        <f t="shared" si="258"/>
        <v>0.14235</v>
      </c>
      <c r="R97" s="64">
        <f t="shared" si="259"/>
        <v>0.92527499999999996</v>
      </c>
      <c r="S97" s="64">
        <f t="shared" si="260"/>
        <v>1.56585</v>
      </c>
      <c r="T97" s="64">
        <f t="shared" si="261"/>
        <v>1.067625</v>
      </c>
      <c r="U97" s="64">
        <f t="shared" si="262"/>
        <v>0.21352499999999999</v>
      </c>
      <c r="V97" s="64">
        <f t="shared" si="263"/>
        <v>3.5587500000000001E-2</v>
      </c>
      <c r="W97" s="64">
        <f t="shared" si="264"/>
        <v>1.352325</v>
      </c>
      <c r="X97" s="64">
        <f t="shared" si="265"/>
        <v>2.2776000000000001</v>
      </c>
      <c r="Y97" s="64">
        <f t="shared" si="266"/>
        <v>1.067625</v>
      </c>
      <c r="Z97" s="64">
        <f t="shared" si="267"/>
        <v>0</v>
      </c>
      <c r="AA97" s="64">
        <f t="shared" si="268"/>
        <v>0</v>
      </c>
      <c r="AB97" s="64">
        <f t="shared" si="269"/>
        <v>1.9928999999999999</v>
      </c>
      <c r="AC97" s="64">
        <f t="shared" si="270"/>
        <v>5.7651750000000002</v>
      </c>
      <c r="AD97" s="64">
        <f t="shared" si="271"/>
        <v>2.1352500000000001</v>
      </c>
      <c r="AE97" s="64">
        <f t="shared" si="272"/>
        <v>0.64057500000000001</v>
      </c>
      <c r="AF97" s="64">
        <f t="shared" si="273"/>
        <v>0.1067625</v>
      </c>
      <c r="AG97" s="65">
        <f t="shared" si="274"/>
        <v>55.691699999999997</v>
      </c>
      <c r="AH97" s="65">
        <f t="shared" si="275"/>
        <v>125.306325</v>
      </c>
      <c r="AI97" s="65">
        <f t="shared" si="276"/>
        <v>55.691699999999997</v>
      </c>
      <c r="AJ97" s="65">
        <f t="shared" si="277"/>
        <v>11.138339999999999</v>
      </c>
      <c r="AK97" s="65">
        <f t="shared" si="278"/>
        <v>1.85639</v>
      </c>
      <c r="AL97" s="66">
        <v>0.9</v>
      </c>
      <c r="AM97" s="66">
        <v>0.75</v>
      </c>
      <c r="AN97" s="66">
        <v>0.9</v>
      </c>
      <c r="AO97" s="66">
        <v>0.1</v>
      </c>
      <c r="AP97" s="66">
        <v>0.1</v>
      </c>
      <c r="AQ97" s="65">
        <f t="shared" si="279"/>
        <v>50.955277500000001</v>
      </c>
      <c r="AR97" s="65">
        <f t="shared" si="280"/>
        <v>95.154131250000006</v>
      </c>
      <c r="AS97" s="65">
        <f t="shared" si="281"/>
        <v>51.083392499999995</v>
      </c>
      <c r="AT97" s="65">
        <f t="shared" si="282"/>
        <v>1.1351865000000001</v>
      </c>
      <c r="AU97" s="65">
        <f t="shared" si="283"/>
        <v>0.18919775000000003</v>
      </c>
      <c r="AV97" s="65">
        <f t="shared" si="284"/>
        <v>5.6616974999999954</v>
      </c>
      <c r="AW97" s="65">
        <f t="shared" si="285"/>
        <v>31.718043749999993</v>
      </c>
      <c r="AX97" s="65">
        <f t="shared" si="286"/>
        <v>5.6759325000000018</v>
      </c>
      <c r="AY97" s="65">
        <f t="shared" si="287"/>
        <v>10.2166785</v>
      </c>
      <c r="AZ97" s="65">
        <f t="shared" si="288"/>
        <v>1.7027797500000001</v>
      </c>
      <c r="BA97" s="67">
        <f t="shared" si="289"/>
        <v>59.962199999999996</v>
      </c>
      <c r="BB97" s="67">
        <f t="shared" si="290"/>
        <v>134.91495</v>
      </c>
      <c r="BC97" s="67">
        <f t="shared" si="291"/>
        <v>59.962199999999996</v>
      </c>
      <c r="BD97" s="68">
        <f t="shared" si="292"/>
        <v>11.99244</v>
      </c>
      <c r="BE97" s="68">
        <f t="shared" si="293"/>
        <v>1.99874</v>
      </c>
      <c r="BF97" s="67">
        <f t="shared" si="294"/>
        <v>7.6545974999999951</v>
      </c>
      <c r="BG97" s="67">
        <f t="shared" si="295"/>
        <v>37.483218749999992</v>
      </c>
      <c r="BH97" s="67">
        <f t="shared" si="296"/>
        <v>7.8111825000000019</v>
      </c>
      <c r="BI97" s="68">
        <f t="shared" si="297"/>
        <v>10.857253500000001</v>
      </c>
      <c r="BJ97" s="68">
        <f t="shared" si="298"/>
        <v>1.8095422500000002</v>
      </c>
      <c r="BK97" s="67">
        <f t="shared" si="299"/>
        <v>52.307602500000002</v>
      </c>
      <c r="BL97" s="67">
        <f t="shared" si="300"/>
        <v>97.431731250000013</v>
      </c>
      <c r="BM97" s="67">
        <f t="shared" si="301"/>
        <v>52.151017499999995</v>
      </c>
      <c r="BN97" s="68">
        <f t="shared" si="302"/>
        <v>1.1351865000000001</v>
      </c>
      <c r="BO97" s="187">
        <f t="shared" si="303"/>
        <v>0.18919775000000003</v>
      </c>
      <c r="BP97" s="157"/>
      <c r="BQ97" s="148"/>
      <c r="BR97" s="148"/>
      <c r="BS97" s="148"/>
      <c r="BT97" s="148"/>
      <c r="BU97" s="150"/>
      <c r="BV97" s="151">
        <v>255160</v>
      </c>
      <c r="BW97" s="150">
        <f>BV97+ROUND(BV97*$BW$6,2)</f>
        <v>267918</v>
      </c>
      <c r="BX97" s="150">
        <f t="shared" si="322"/>
        <v>307837.78000000003</v>
      </c>
      <c r="BY97" s="150">
        <f t="shared" si="323"/>
        <v>309069.13</v>
      </c>
      <c r="BZ97" s="155">
        <f t="shared" si="324"/>
        <v>316177.72000000003</v>
      </c>
      <c r="CA97" s="179">
        <f t="shared" si="324"/>
        <v>323449.81000000006</v>
      </c>
      <c r="CB97" s="203">
        <f t="shared" si="304"/>
        <v>30727.731950000005</v>
      </c>
      <c r="CC97" s="198">
        <f t="shared" si="325"/>
        <v>330889.16000000003</v>
      </c>
      <c r="CD97" s="206">
        <f t="shared" si="305"/>
        <v>31434.470200000003</v>
      </c>
      <c r="CE97" s="150">
        <f t="shared" si="326"/>
        <v>338499.61000000004</v>
      </c>
      <c r="CF97" s="206">
        <f t="shared" si="306"/>
        <v>32157.462950000005</v>
      </c>
      <c r="CG97" s="150">
        <f t="shared" si="327"/>
        <v>346285.10000000003</v>
      </c>
      <c r="CH97" s="206">
        <f t="shared" si="307"/>
        <v>32897.084500000004</v>
      </c>
      <c r="CI97" s="150">
        <f t="shared" si="328"/>
        <v>354249.66000000003</v>
      </c>
      <c r="CJ97" s="206">
        <f t="shared" si="308"/>
        <v>33653.717700000001</v>
      </c>
      <c r="CK97" s="150">
        <f t="shared" si="329"/>
        <v>362397.4</v>
      </c>
      <c r="CL97" s="206">
        <f t="shared" si="309"/>
        <v>34427.753000000004</v>
      </c>
      <c r="CM97" s="150">
        <f t="shared" si="330"/>
        <v>370732.54000000004</v>
      </c>
      <c r="CN97" s="150">
        <f t="shared" si="331"/>
        <v>379259.39</v>
      </c>
      <c r="CO97" s="157"/>
      <c r="CP97" s="148"/>
      <c r="CQ97" s="148"/>
      <c r="CR97" s="148"/>
      <c r="CS97" s="148"/>
      <c r="CT97" s="148"/>
      <c r="CU97" s="151">
        <v>257100</v>
      </c>
      <c r="CV97" s="150">
        <f>CU97+ROUND(CU97*CV$6,2)</f>
        <v>269955</v>
      </c>
      <c r="CW97" s="150">
        <f t="shared" ref="CW97:DG97" si="355">CV97+ROUND(CV97*CW$6,2)</f>
        <v>310178.3</v>
      </c>
      <c r="CX97" s="150">
        <f t="shared" si="355"/>
        <v>311419.01</v>
      </c>
      <c r="CY97" s="150">
        <f t="shared" si="355"/>
        <v>318581.65000000002</v>
      </c>
      <c r="CZ97" s="155">
        <f t="shared" si="355"/>
        <v>326546.19</v>
      </c>
      <c r="DA97" s="155">
        <f t="shared" si="355"/>
        <v>334709.84000000003</v>
      </c>
      <c r="DB97" s="155">
        <f t="shared" si="355"/>
        <v>343077.59</v>
      </c>
      <c r="DC97" s="155">
        <f t="shared" si="355"/>
        <v>351654.53</v>
      </c>
      <c r="DD97" s="155">
        <f t="shared" si="355"/>
        <v>360445.89</v>
      </c>
      <c r="DE97" s="155">
        <f t="shared" si="355"/>
        <v>369457.04000000004</v>
      </c>
      <c r="DF97" s="155">
        <f t="shared" si="355"/>
        <v>378693.47000000003</v>
      </c>
      <c r="DG97" s="155">
        <f t="shared" si="355"/>
        <v>388160.81000000006</v>
      </c>
      <c r="DH97" s="236">
        <v>0</v>
      </c>
      <c r="DI97" s="243">
        <f t="shared" si="311"/>
        <v>323449.81000000006</v>
      </c>
      <c r="DJ97" s="248">
        <f t="shared" si="312"/>
        <v>1658.7169743589745</v>
      </c>
      <c r="DK97" s="382">
        <f>CA97/'1.piel'!M96</f>
        <v>1658.7169743589745</v>
      </c>
      <c r="DL97">
        <f>DH97/'1.piel'!G96</f>
        <v>0</v>
      </c>
    </row>
    <row r="98" spans="2:116" x14ac:dyDescent="0.25">
      <c r="B98" s="52">
        <v>60</v>
      </c>
      <c r="C98" s="53" t="s">
        <v>14</v>
      </c>
      <c r="D98" s="40" t="s">
        <v>270</v>
      </c>
      <c r="E98" s="110">
        <v>2538</v>
      </c>
      <c r="F98" s="178">
        <v>3612</v>
      </c>
      <c r="G98" s="36">
        <v>474</v>
      </c>
      <c r="H98" s="99">
        <f t="shared" si="252"/>
        <v>4086</v>
      </c>
      <c r="I98" s="94">
        <f t="shared" si="240"/>
        <v>0.76439645625692132</v>
      </c>
      <c r="J98" s="89">
        <v>2761</v>
      </c>
      <c r="K98" s="98">
        <f t="shared" si="241"/>
        <v>0.23560354374307863</v>
      </c>
      <c r="L98" s="99">
        <f t="shared" si="253"/>
        <v>851</v>
      </c>
      <c r="M98" s="174">
        <f t="shared" si="254"/>
        <v>18.636900000000001</v>
      </c>
      <c r="N98" s="64">
        <f t="shared" si="255"/>
        <v>41.933025000000001</v>
      </c>
      <c r="O98" s="64">
        <f t="shared" si="256"/>
        <v>18.636900000000001</v>
      </c>
      <c r="P98" s="64">
        <f t="shared" si="257"/>
        <v>3.7273800000000001</v>
      </c>
      <c r="Q98" s="64">
        <f t="shared" si="258"/>
        <v>0.62122999999999995</v>
      </c>
      <c r="R98" s="64">
        <f t="shared" si="259"/>
        <v>4.0379949999999996</v>
      </c>
      <c r="S98" s="64">
        <f t="shared" si="260"/>
        <v>6.8335299999999997</v>
      </c>
      <c r="T98" s="64">
        <f t="shared" si="261"/>
        <v>4.6592250000000002</v>
      </c>
      <c r="U98" s="64">
        <f t="shared" si="262"/>
        <v>0.93184500000000003</v>
      </c>
      <c r="V98" s="64">
        <f t="shared" si="263"/>
        <v>0.15530749999999999</v>
      </c>
      <c r="W98" s="64">
        <f t="shared" si="264"/>
        <v>5.9016849999999996</v>
      </c>
      <c r="X98" s="64">
        <f t="shared" si="265"/>
        <v>9.9396799999999992</v>
      </c>
      <c r="Y98" s="64">
        <f t="shared" si="266"/>
        <v>4.6592250000000002</v>
      </c>
      <c r="Z98" s="64">
        <f t="shared" si="267"/>
        <v>0</v>
      </c>
      <c r="AA98" s="64">
        <f t="shared" si="268"/>
        <v>0</v>
      </c>
      <c r="AB98" s="64">
        <f t="shared" si="269"/>
        <v>8.6972199999999997</v>
      </c>
      <c r="AC98" s="64">
        <f t="shared" si="270"/>
        <v>25.159814999999998</v>
      </c>
      <c r="AD98" s="64">
        <f t="shared" si="271"/>
        <v>9.3184500000000003</v>
      </c>
      <c r="AE98" s="64">
        <f t="shared" si="272"/>
        <v>2.7955350000000001</v>
      </c>
      <c r="AF98" s="64">
        <f t="shared" si="273"/>
        <v>0.46592250000000002</v>
      </c>
      <c r="AG98" s="65">
        <f t="shared" si="274"/>
        <v>70.846500000000006</v>
      </c>
      <c r="AH98" s="65">
        <f t="shared" si="275"/>
        <v>159.40462500000001</v>
      </c>
      <c r="AI98" s="65">
        <f t="shared" si="276"/>
        <v>70.846500000000006</v>
      </c>
      <c r="AJ98" s="65">
        <f t="shared" si="277"/>
        <v>14.1693</v>
      </c>
      <c r="AK98" s="65">
        <f t="shared" si="278"/>
        <v>2.3615499999999998</v>
      </c>
      <c r="AL98" s="66">
        <v>0.9</v>
      </c>
      <c r="AM98" s="66">
        <v>0.75</v>
      </c>
      <c r="AN98" s="66">
        <v>0.9</v>
      </c>
      <c r="AO98" s="66">
        <v>0.1</v>
      </c>
      <c r="AP98" s="66">
        <v>0.1</v>
      </c>
      <c r="AQ98" s="65">
        <f t="shared" si="279"/>
        <v>67.3960455</v>
      </c>
      <c r="AR98" s="65">
        <f t="shared" si="280"/>
        <v>124.67861625</v>
      </c>
      <c r="AS98" s="65">
        <f t="shared" si="281"/>
        <v>67.955152500000011</v>
      </c>
      <c r="AT98" s="65">
        <f t="shared" si="282"/>
        <v>1.5101145</v>
      </c>
      <c r="AU98" s="65">
        <f t="shared" si="283"/>
        <v>0.25168574999999999</v>
      </c>
      <c r="AV98" s="65">
        <f t="shared" si="284"/>
        <v>7.4884495000000015</v>
      </c>
      <c r="AW98" s="65">
        <f t="shared" si="285"/>
        <v>41.559538750000002</v>
      </c>
      <c r="AX98" s="65">
        <f t="shared" si="286"/>
        <v>7.5505725000000012</v>
      </c>
      <c r="AY98" s="65">
        <f t="shared" si="287"/>
        <v>13.591030499999999</v>
      </c>
      <c r="AZ98" s="65">
        <f t="shared" si="288"/>
        <v>2.2651717499999999</v>
      </c>
      <c r="BA98" s="67">
        <f t="shared" si="289"/>
        <v>89.483400000000003</v>
      </c>
      <c r="BB98" s="67">
        <f t="shared" si="290"/>
        <v>201.33765</v>
      </c>
      <c r="BC98" s="67">
        <f t="shared" si="291"/>
        <v>89.483400000000003</v>
      </c>
      <c r="BD98" s="68">
        <f t="shared" si="292"/>
        <v>17.89668</v>
      </c>
      <c r="BE98" s="68">
        <f t="shared" si="293"/>
        <v>2.98278</v>
      </c>
      <c r="BF98" s="67">
        <f t="shared" si="294"/>
        <v>16.185669500000003</v>
      </c>
      <c r="BG98" s="67">
        <f t="shared" si="295"/>
        <v>66.719353749999996</v>
      </c>
      <c r="BH98" s="67">
        <f t="shared" si="296"/>
        <v>16.8690225</v>
      </c>
      <c r="BI98" s="68">
        <f t="shared" si="297"/>
        <v>16.3865655</v>
      </c>
      <c r="BJ98" s="68">
        <f t="shared" si="298"/>
        <v>2.7310942499999999</v>
      </c>
      <c r="BK98" s="67">
        <f t="shared" si="299"/>
        <v>73.2977305</v>
      </c>
      <c r="BL98" s="67">
        <f t="shared" si="300"/>
        <v>134.61829625000001</v>
      </c>
      <c r="BM98" s="67">
        <f t="shared" si="301"/>
        <v>72.614377500000018</v>
      </c>
      <c r="BN98" s="68">
        <f t="shared" si="302"/>
        <v>1.5101145</v>
      </c>
      <c r="BO98" s="187">
        <f t="shared" si="303"/>
        <v>0.25168574999999999</v>
      </c>
      <c r="BP98" s="157"/>
      <c r="BQ98" s="148"/>
      <c r="BR98" s="148"/>
      <c r="BS98" s="148"/>
      <c r="BT98" s="148"/>
      <c r="BU98" s="150"/>
      <c r="BV98" s="148"/>
      <c r="BW98" s="151">
        <v>1614421</v>
      </c>
      <c r="BX98" s="150">
        <f t="shared" si="322"/>
        <v>1854969.73</v>
      </c>
      <c r="BY98" s="150">
        <f t="shared" si="323"/>
        <v>1862389.6099999999</v>
      </c>
      <c r="BZ98" s="155">
        <f t="shared" si="324"/>
        <v>1905224.5699999998</v>
      </c>
      <c r="CA98" s="179">
        <f t="shared" si="324"/>
        <v>1949044.7399999998</v>
      </c>
      <c r="CB98" s="203">
        <f t="shared" si="304"/>
        <v>185159.25029999999</v>
      </c>
      <c r="CC98" s="198">
        <f t="shared" si="325"/>
        <v>1993872.7699999998</v>
      </c>
      <c r="CD98" s="206">
        <f t="shared" si="305"/>
        <v>189417.91314999998</v>
      </c>
      <c r="CE98" s="150">
        <f t="shared" si="326"/>
        <v>2039731.8399999999</v>
      </c>
      <c r="CF98" s="206">
        <f t="shared" si="306"/>
        <v>193774.52479999998</v>
      </c>
      <c r="CG98" s="150">
        <f t="shared" si="327"/>
        <v>2086645.67</v>
      </c>
      <c r="CH98" s="206">
        <f t="shared" si="307"/>
        <v>198231.33864999999</v>
      </c>
      <c r="CI98" s="150">
        <f t="shared" si="328"/>
        <v>2134638.52</v>
      </c>
      <c r="CJ98" s="206">
        <f t="shared" si="308"/>
        <v>202790.6594</v>
      </c>
      <c r="CK98" s="150">
        <f t="shared" si="329"/>
        <v>2183735.21</v>
      </c>
      <c r="CL98" s="206">
        <f t="shared" si="309"/>
        <v>207454.84495</v>
      </c>
      <c r="CM98" s="150">
        <f t="shared" si="330"/>
        <v>2233961.12</v>
      </c>
      <c r="CN98" s="150">
        <f t="shared" si="331"/>
        <v>2285342.23</v>
      </c>
      <c r="CO98" s="157"/>
      <c r="CP98" s="148"/>
      <c r="CQ98" s="148"/>
      <c r="CR98" s="148"/>
      <c r="CS98" s="148"/>
      <c r="CT98" s="148"/>
      <c r="CU98" s="148"/>
      <c r="CV98" s="151">
        <v>1186050</v>
      </c>
      <c r="CW98" s="150">
        <f t="shared" ref="CW98:DG98" si="356">CV98+ROUND(CV98*CW$6,2)</f>
        <v>1362771.45</v>
      </c>
      <c r="CX98" s="150">
        <f t="shared" si="356"/>
        <v>1368222.54</v>
      </c>
      <c r="CY98" s="150">
        <f t="shared" si="356"/>
        <v>1399691.6600000001</v>
      </c>
      <c r="CZ98" s="155">
        <f t="shared" si="356"/>
        <v>1434683.9500000002</v>
      </c>
      <c r="DA98" s="155">
        <f t="shared" si="356"/>
        <v>1470551.0500000003</v>
      </c>
      <c r="DB98" s="155">
        <f t="shared" si="356"/>
        <v>1507314.8300000003</v>
      </c>
      <c r="DC98" s="155">
        <f t="shared" si="356"/>
        <v>1544997.7000000004</v>
      </c>
      <c r="DD98" s="155">
        <f t="shared" si="356"/>
        <v>1583622.6400000004</v>
      </c>
      <c r="DE98" s="155">
        <f t="shared" si="356"/>
        <v>1623213.2100000004</v>
      </c>
      <c r="DF98" s="155">
        <f t="shared" si="356"/>
        <v>1663793.5400000005</v>
      </c>
      <c r="DG98" s="155">
        <f t="shared" si="356"/>
        <v>1705388.3800000006</v>
      </c>
      <c r="DH98" s="236">
        <v>0</v>
      </c>
      <c r="DI98" s="243">
        <f t="shared" si="311"/>
        <v>1949044.7399999998</v>
      </c>
      <c r="DJ98" s="248">
        <f t="shared" si="312"/>
        <v>2290.2993419506461</v>
      </c>
      <c r="DK98" s="382">
        <f>CA98/'1.piel'!M97</f>
        <v>2290.2993419506461</v>
      </c>
      <c r="DL98">
        <f>DH98/'1.piel'!G97</f>
        <v>0</v>
      </c>
    </row>
    <row r="99" spans="2:116" x14ac:dyDescent="0.25">
      <c r="B99" s="52">
        <v>70</v>
      </c>
      <c r="C99" s="53" t="s">
        <v>106</v>
      </c>
      <c r="D99" s="36" t="s">
        <v>270</v>
      </c>
      <c r="E99" s="110">
        <v>2108</v>
      </c>
      <c r="F99" s="178">
        <v>2043</v>
      </c>
      <c r="G99" s="36">
        <v>100</v>
      </c>
      <c r="H99" s="99">
        <f t="shared" si="252"/>
        <v>2143</v>
      </c>
      <c r="I99" s="94">
        <f t="shared" si="240"/>
        <v>0.51150269211943222</v>
      </c>
      <c r="J99" s="89">
        <v>1045</v>
      </c>
      <c r="K99" s="98">
        <f t="shared" si="241"/>
        <v>0.48849730788056778</v>
      </c>
      <c r="L99" s="99">
        <f t="shared" si="253"/>
        <v>998</v>
      </c>
      <c r="M99" s="174">
        <f t="shared" si="254"/>
        <v>21.856200000000001</v>
      </c>
      <c r="N99" s="64">
        <f t="shared" si="255"/>
        <v>49.176450000000003</v>
      </c>
      <c r="O99" s="64">
        <f t="shared" si="256"/>
        <v>21.856200000000001</v>
      </c>
      <c r="P99" s="64">
        <f t="shared" si="257"/>
        <v>4.3712400000000002</v>
      </c>
      <c r="Q99" s="64">
        <f t="shared" si="258"/>
        <v>0.72853999999999997</v>
      </c>
      <c r="R99" s="64">
        <f t="shared" si="259"/>
        <v>4.7355099999999997</v>
      </c>
      <c r="S99" s="64">
        <f t="shared" si="260"/>
        <v>8.0139399999999998</v>
      </c>
      <c r="T99" s="64">
        <f t="shared" si="261"/>
        <v>5.4640500000000003</v>
      </c>
      <c r="U99" s="64">
        <f t="shared" si="262"/>
        <v>1.0928100000000001</v>
      </c>
      <c r="V99" s="64">
        <f t="shared" si="263"/>
        <v>0.18213499999999999</v>
      </c>
      <c r="W99" s="64">
        <f t="shared" si="264"/>
        <v>6.9211299999999998</v>
      </c>
      <c r="X99" s="64">
        <f t="shared" si="265"/>
        <v>11.656639999999999</v>
      </c>
      <c r="Y99" s="64">
        <f t="shared" si="266"/>
        <v>5.4640500000000003</v>
      </c>
      <c r="Z99" s="64">
        <f t="shared" si="267"/>
        <v>0</v>
      </c>
      <c r="AA99" s="64">
        <f t="shared" si="268"/>
        <v>0</v>
      </c>
      <c r="AB99" s="64">
        <f t="shared" si="269"/>
        <v>10.19956</v>
      </c>
      <c r="AC99" s="64">
        <f t="shared" si="270"/>
        <v>29.505870000000002</v>
      </c>
      <c r="AD99" s="64">
        <f t="shared" si="271"/>
        <v>10.928100000000001</v>
      </c>
      <c r="AE99" s="64">
        <f t="shared" si="272"/>
        <v>3.2784300000000002</v>
      </c>
      <c r="AF99" s="64">
        <f t="shared" si="273"/>
        <v>0.54640500000000003</v>
      </c>
      <c r="AG99" s="65">
        <f t="shared" si="274"/>
        <v>25.075500000000002</v>
      </c>
      <c r="AH99" s="65">
        <f t="shared" si="275"/>
        <v>56.419874999999998</v>
      </c>
      <c r="AI99" s="65">
        <f t="shared" si="276"/>
        <v>25.075500000000002</v>
      </c>
      <c r="AJ99" s="65">
        <f t="shared" si="277"/>
        <v>5.0151000000000003</v>
      </c>
      <c r="AK99" s="65">
        <f t="shared" si="278"/>
        <v>0.83584999999999998</v>
      </c>
      <c r="AL99" s="66">
        <v>0.9</v>
      </c>
      <c r="AM99" s="66">
        <v>0.75</v>
      </c>
      <c r="AN99" s="66">
        <v>0.9</v>
      </c>
      <c r="AO99" s="66">
        <v>0.1</v>
      </c>
      <c r="AP99" s="66">
        <v>0.1</v>
      </c>
      <c r="AQ99" s="65">
        <f t="shared" si="279"/>
        <v>26.829909000000004</v>
      </c>
      <c r="AR99" s="65">
        <f t="shared" si="280"/>
        <v>48.32536125</v>
      </c>
      <c r="AS99" s="65">
        <f t="shared" si="281"/>
        <v>27.485595000000004</v>
      </c>
      <c r="AT99" s="65">
        <f t="shared" si="282"/>
        <v>0.61079100000000008</v>
      </c>
      <c r="AU99" s="65">
        <f t="shared" si="283"/>
        <v>0.1017985</v>
      </c>
      <c r="AV99" s="65">
        <f t="shared" si="284"/>
        <v>2.9811009999999989</v>
      </c>
      <c r="AW99" s="65">
        <f t="shared" si="285"/>
        <v>16.108453749999995</v>
      </c>
      <c r="AX99" s="65">
        <f t="shared" si="286"/>
        <v>3.0539549999999984</v>
      </c>
      <c r="AY99" s="65">
        <f t="shared" si="287"/>
        <v>5.4971190000000005</v>
      </c>
      <c r="AZ99" s="65">
        <f t="shared" si="288"/>
        <v>0.9161864999999999</v>
      </c>
      <c r="BA99" s="67">
        <f t="shared" si="289"/>
        <v>46.931700000000006</v>
      </c>
      <c r="BB99" s="67">
        <f t="shared" si="290"/>
        <v>105.59632500000001</v>
      </c>
      <c r="BC99" s="67">
        <f t="shared" si="291"/>
        <v>46.931700000000006</v>
      </c>
      <c r="BD99" s="68">
        <f t="shared" si="292"/>
        <v>9.3863400000000006</v>
      </c>
      <c r="BE99" s="68">
        <f t="shared" si="293"/>
        <v>1.5643899999999999</v>
      </c>
      <c r="BF99" s="67">
        <f t="shared" si="294"/>
        <v>13.180660999999999</v>
      </c>
      <c r="BG99" s="67">
        <f t="shared" si="295"/>
        <v>45.614323749999997</v>
      </c>
      <c r="BH99" s="67">
        <f t="shared" si="296"/>
        <v>13.982054999999999</v>
      </c>
      <c r="BI99" s="68">
        <f t="shared" si="297"/>
        <v>8.7755490000000016</v>
      </c>
      <c r="BJ99" s="68">
        <f t="shared" si="298"/>
        <v>1.4625914999999998</v>
      </c>
      <c r="BK99" s="67">
        <f t="shared" si="299"/>
        <v>33.751039000000006</v>
      </c>
      <c r="BL99" s="67">
        <f t="shared" si="300"/>
        <v>59.982001249999996</v>
      </c>
      <c r="BM99" s="67">
        <f t="shared" si="301"/>
        <v>32.949645000000004</v>
      </c>
      <c r="BN99" s="68">
        <f t="shared" si="302"/>
        <v>0.61079100000000008</v>
      </c>
      <c r="BO99" s="187">
        <f t="shared" si="303"/>
        <v>0.1017985</v>
      </c>
      <c r="BP99" s="157"/>
      <c r="BQ99" s="148"/>
      <c r="BR99" s="148"/>
      <c r="BS99" s="150"/>
      <c r="BT99" s="148"/>
      <c r="BU99" s="148"/>
      <c r="BV99" s="151">
        <v>668575</v>
      </c>
      <c r="BW99" s="150">
        <f>BV99+ROUND(BV99*$BW$6,2)</f>
        <v>702003.75</v>
      </c>
      <c r="BX99" s="150">
        <f t="shared" si="322"/>
        <v>806602.31</v>
      </c>
      <c r="BY99" s="150">
        <f t="shared" si="323"/>
        <v>809828.72000000009</v>
      </c>
      <c r="BZ99" s="155">
        <f t="shared" si="324"/>
        <v>828454.78000000014</v>
      </c>
      <c r="CA99" s="179">
        <f t="shared" si="324"/>
        <v>847509.24000000011</v>
      </c>
      <c r="CB99" s="203">
        <f t="shared" si="304"/>
        <v>80513.377800000017</v>
      </c>
      <c r="CC99" s="198">
        <f t="shared" si="325"/>
        <v>867001.95000000007</v>
      </c>
      <c r="CD99" s="206">
        <f t="shared" si="305"/>
        <v>82365.18525000001</v>
      </c>
      <c r="CE99" s="150">
        <f t="shared" si="326"/>
        <v>886942.99000000011</v>
      </c>
      <c r="CF99" s="206">
        <f t="shared" si="306"/>
        <v>84259.584050000005</v>
      </c>
      <c r="CG99" s="150">
        <f t="shared" si="327"/>
        <v>907342.68</v>
      </c>
      <c r="CH99" s="206">
        <f t="shared" si="307"/>
        <v>86197.554600000003</v>
      </c>
      <c r="CI99" s="150">
        <f t="shared" si="328"/>
        <v>928211.56</v>
      </c>
      <c r="CJ99" s="206">
        <f t="shared" si="308"/>
        <v>88180.098200000008</v>
      </c>
      <c r="CK99" s="150">
        <f t="shared" si="329"/>
        <v>949560.43</v>
      </c>
      <c r="CL99" s="206">
        <f t="shared" si="309"/>
        <v>90208.240850000002</v>
      </c>
      <c r="CM99" s="150">
        <f t="shared" si="330"/>
        <v>971400.32000000007</v>
      </c>
      <c r="CN99" s="150">
        <f t="shared" si="331"/>
        <v>993742.53</v>
      </c>
      <c r="CO99" s="157"/>
      <c r="CP99" s="148"/>
      <c r="CQ99" s="148"/>
      <c r="CR99" s="148"/>
      <c r="CS99" s="148"/>
      <c r="CT99" s="148"/>
      <c r="CU99" s="151">
        <v>15250</v>
      </c>
      <c r="CV99" s="150">
        <f>CU99+ROUND(CU99*CV$6,2)</f>
        <v>16012.5</v>
      </c>
      <c r="CW99" s="150">
        <f t="shared" ref="CW99:DG99" si="357">CV99+ROUND(CV99*CW$6,2)</f>
        <v>18398.36</v>
      </c>
      <c r="CX99" s="150">
        <f t="shared" si="357"/>
        <v>18471.95</v>
      </c>
      <c r="CY99" s="150">
        <f t="shared" si="357"/>
        <v>18896.8</v>
      </c>
      <c r="CZ99" s="155">
        <f t="shared" si="357"/>
        <v>19369.219999999998</v>
      </c>
      <c r="DA99" s="155">
        <f t="shared" si="357"/>
        <v>19853.449999999997</v>
      </c>
      <c r="DB99" s="155">
        <f t="shared" si="357"/>
        <v>20349.789999999997</v>
      </c>
      <c r="DC99" s="155">
        <f t="shared" si="357"/>
        <v>20858.53</v>
      </c>
      <c r="DD99" s="155">
        <f t="shared" si="357"/>
        <v>21379.989999999998</v>
      </c>
      <c r="DE99" s="155">
        <f t="shared" si="357"/>
        <v>21914.489999999998</v>
      </c>
      <c r="DF99" s="155">
        <f t="shared" si="357"/>
        <v>22462.35</v>
      </c>
      <c r="DG99" s="155">
        <f t="shared" si="357"/>
        <v>23023.91</v>
      </c>
      <c r="DH99" s="236">
        <v>0</v>
      </c>
      <c r="DI99" s="243">
        <f t="shared" si="311"/>
        <v>847509.24000000011</v>
      </c>
      <c r="DJ99" s="248">
        <f t="shared" si="312"/>
        <v>849.20765531062136</v>
      </c>
      <c r="DK99" s="382">
        <f>CA99/'1.piel'!M98</f>
        <v>849.20765531062136</v>
      </c>
      <c r="DL99">
        <f>DH99/'1.piel'!G98</f>
        <v>0</v>
      </c>
    </row>
    <row r="100" spans="2:116" x14ac:dyDescent="0.25">
      <c r="B100" s="52">
        <v>71</v>
      </c>
      <c r="C100" s="53" t="s">
        <v>107</v>
      </c>
      <c r="D100" s="36" t="s">
        <v>270</v>
      </c>
      <c r="E100" s="110">
        <v>2094</v>
      </c>
      <c r="F100" s="178">
        <v>2162</v>
      </c>
      <c r="G100" s="36">
        <v>415</v>
      </c>
      <c r="H100" s="99">
        <f t="shared" si="252"/>
        <v>2577</v>
      </c>
      <c r="I100" s="94">
        <f t="shared" si="240"/>
        <v>0.58001850138760402</v>
      </c>
      <c r="J100" s="89">
        <v>1254</v>
      </c>
      <c r="K100" s="98">
        <f t="shared" si="241"/>
        <v>0.41998149861239592</v>
      </c>
      <c r="L100" s="99">
        <f t="shared" si="253"/>
        <v>908</v>
      </c>
      <c r="M100" s="174">
        <f t="shared" si="254"/>
        <v>19.885200000000001</v>
      </c>
      <c r="N100" s="64">
        <f t="shared" si="255"/>
        <v>44.741700000000002</v>
      </c>
      <c r="O100" s="64">
        <f t="shared" si="256"/>
        <v>19.885200000000001</v>
      </c>
      <c r="P100" s="64">
        <f t="shared" si="257"/>
        <v>3.9770400000000001</v>
      </c>
      <c r="Q100" s="64">
        <f t="shared" si="258"/>
        <v>0.66283999999999998</v>
      </c>
      <c r="R100" s="64">
        <f t="shared" si="259"/>
        <v>4.3084600000000002</v>
      </c>
      <c r="S100" s="64">
        <f t="shared" si="260"/>
        <v>7.2912400000000002</v>
      </c>
      <c r="T100" s="64">
        <f t="shared" si="261"/>
        <v>4.9713000000000003</v>
      </c>
      <c r="U100" s="64">
        <f t="shared" si="262"/>
        <v>0.99426000000000003</v>
      </c>
      <c r="V100" s="64">
        <f t="shared" si="263"/>
        <v>0.16571</v>
      </c>
      <c r="W100" s="64">
        <f t="shared" si="264"/>
        <v>6.2969799999999996</v>
      </c>
      <c r="X100" s="64">
        <f t="shared" si="265"/>
        <v>10.60544</v>
      </c>
      <c r="Y100" s="64">
        <f t="shared" si="266"/>
        <v>4.9713000000000003</v>
      </c>
      <c r="Z100" s="64">
        <f t="shared" si="267"/>
        <v>0</v>
      </c>
      <c r="AA100" s="64">
        <f t="shared" si="268"/>
        <v>0</v>
      </c>
      <c r="AB100" s="64">
        <f t="shared" si="269"/>
        <v>9.2797599999999996</v>
      </c>
      <c r="AC100" s="64">
        <f t="shared" si="270"/>
        <v>26.845020000000002</v>
      </c>
      <c r="AD100" s="64">
        <f t="shared" si="271"/>
        <v>9.9426000000000005</v>
      </c>
      <c r="AE100" s="64">
        <f t="shared" si="272"/>
        <v>2.98278</v>
      </c>
      <c r="AF100" s="64">
        <f t="shared" si="273"/>
        <v>0.49713000000000002</v>
      </c>
      <c r="AG100" s="65">
        <f t="shared" si="274"/>
        <v>36.551099999999998</v>
      </c>
      <c r="AH100" s="65">
        <f t="shared" si="275"/>
        <v>82.239975000000001</v>
      </c>
      <c r="AI100" s="65">
        <f t="shared" si="276"/>
        <v>36.551099999999998</v>
      </c>
      <c r="AJ100" s="65">
        <f t="shared" si="277"/>
        <v>7.3102200000000002</v>
      </c>
      <c r="AK100" s="65">
        <f t="shared" si="278"/>
        <v>1.21837</v>
      </c>
      <c r="AL100" s="66">
        <v>0.9</v>
      </c>
      <c r="AM100" s="66">
        <v>0.75</v>
      </c>
      <c r="AN100" s="66">
        <v>0.9</v>
      </c>
      <c r="AO100" s="66">
        <v>0.1</v>
      </c>
      <c r="AP100" s="66">
        <v>0.1</v>
      </c>
      <c r="AQ100" s="65">
        <f t="shared" si="279"/>
        <v>36.773604000000006</v>
      </c>
      <c r="AR100" s="65">
        <f t="shared" si="280"/>
        <v>67.148411250000009</v>
      </c>
      <c r="AS100" s="65">
        <f t="shared" si="281"/>
        <v>37.370159999999998</v>
      </c>
      <c r="AT100" s="65">
        <f t="shared" si="282"/>
        <v>0.83044800000000008</v>
      </c>
      <c r="AU100" s="65">
        <f t="shared" si="283"/>
        <v>0.138408</v>
      </c>
      <c r="AV100" s="65">
        <f t="shared" si="284"/>
        <v>4.0859559999999959</v>
      </c>
      <c r="AW100" s="65">
        <f t="shared" si="285"/>
        <v>22.382803749999994</v>
      </c>
      <c r="AX100" s="65">
        <f t="shared" si="286"/>
        <v>4.152239999999999</v>
      </c>
      <c r="AY100" s="65">
        <f t="shared" si="287"/>
        <v>7.4740319999999993</v>
      </c>
      <c r="AZ100" s="65">
        <f t="shared" si="288"/>
        <v>1.2456719999999999</v>
      </c>
      <c r="BA100" s="67">
        <f t="shared" si="289"/>
        <v>56.436300000000003</v>
      </c>
      <c r="BB100" s="67">
        <f t="shared" si="290"/>
        <v>126.981675</v>
      </c>
      <c r="BC100" s="67">
        <f t="shared" si="291"/>
        <v>56.436300000000003</v>
      </c>
      <c r="BD100" s="68">
        <f t="shared" si="292"/>
        <v>11.28726</v>
      </c>
      <c r="BE100" s="68">
        <f t="shared" si="293"/>
        <v>1.8812099999999998</v>
      </c>
      <c r="BF100" s="67">
        <f t="shared" si="294"/>
        <v>13.365715999999995</v>
      </c>
      <c r="BG100" s="67">
        <f t="shared" si="295"/>
        <v>49.227823749999999</v>
      </c>
      <c r="BH100" s="67">
        <f t="shared" si="296"/>
        <v>14.09484</v>
      </c>
      <c r="BI100" s="68">
        <f t="shared" si="297"/>
        <v>10.456811999999999</v>
      </c>
      <c r="BJ100" s="68">
        <f t="shared" si="298"/>
        <v>1.742802</v>
      </c>
      <c r="BK100" s="67">
        <f t="shared" si="299"/>
        <v>43.070584000000004</v>
      </c>
      <c r="BL100" s="67">
        <f t="shared" si="300"/>
        <v>77.753851250000011</v>
      </c>
      <c r="BM100" s="67">
        <f t="shared" si="301"/>
        <v>42.341459999999998</v>
      </c>
      <c r="BN100" s="68">
        <f t="shared" si="302"/>
        <v>0.83044800000000008</v>
      </c>
      <c r="BO100" s="187">
        <f t="shared" si="303"/>
        <v>0.138408</v>
      </c>
      <c r="BP100" s="157"/>
      <c r="BQ100" s="148"/>
      <c r="BR100" s="151">
        <v>1868000</v>
      </c>
      <c r="BS100" s="150">
        <f>BR100+ROUND(BR100*BS$6,2)</f>
        <v>2357416</v>
      </c>
      <c r="BT100" s="150">
        <f>BS100+ROUND(BS100*BT$6,2)</f>
        <v>2696883.9</v>
      </c>
      <c r="BU100" s="150">
        <f>BT100+ROUND(BT100*BU$6,2)</f>
        <v>2467648.77</v>
      </c>
      <c r="BV100" s="150">
        <f>BU100+ROUND(BU100*BV$6,2)</f>
        <v>2211013.2999999998</v>
      </c>
      <c r="BW100" s="150">
        <f>BV100+ROUND(BV100*$BW$6,2)</f>
        <v>2321563.9699999997</v>
      </c>
      <c r="BX100" s="150">
        <f t="shared" si="322"/>
        <v>2667477</v>
      </c>
      <c r="BY100" s="150">
        <f t="shared" si="323"/>
        <v>2678146.91</v>
      </c>
      <c r="BZ100" s="155">
        <f t="shared" si="324"/>
        <v>2739744.29</v>
      </c>
      <c r="CA100" s="179">
        <f t="shared" si="324"/>
        <v>2802758.41</v>
      </c>
      <c r="CB100" s="203">
        <f t="shared" si="304"/>
        <v>266262.04895000003</v>
      </c>
      <c r="CC100" s="198">
        <f t="shared" si="325"/>
        <v>2867221.85</v>
      </c>
      <c r="CD100" s="206">
        <f t="shared" si="305"/>
        <v>272386.07575000002</v>
      </c>
      <c r="CE100" s="150">
        <f t="shared" si="326"/>
        <v>2933167.95</v>
      </c>
      <c r="CF100" s="206">
        <f t="shared" si="306"/>
        <v>278650.95525</v>
      </c>
      <c r="CG100" s="150">
        <f t="shared" si="327"/>
        <v>3000630.81</v>
      </c>
      <c r="CH100" s="206">
        <f t="shared" si="307"/>
        <v>285059.92694999999</v>
      </c>
      <c r="CI100" s="150">
        <f t="shared" si="328"/>
        <v>3069645.32</v>
      </c>
      <c r="CJ100" s="206">
        <f t="shared" si="308"/>
        <v>291616.30540000001</v>
      </c>
      <c r="CK100" s="150">
        <f t="shared" si="329"/>
        <v>3140247.1599999997</v>
      </c>
      <c r="CL100" s="206">
        <f t="shared" si="309"/>
        <v>298323.48019999999</v>
      </c>
      <c r="CM100" s="150">
        <f t="shared" si="330"/>
        <v>3212472.84</v>
      </c>
      <c r="CN100" s="150">
        <f t="shared" si="331"/>
        <v>3286359.7199999997</v>
      </c>
      <c r="CO100" s="157"/>
      <c r="CP100" s="148"/>
      <c r="CQ100" s="151">
        <v>0</v>
      </c>
      <c r="CR100" s="150">
        <f>CQ100+ROUND(CQ100*CR$6,2)</f>
        <v>0</v>
      </c>
      <c r="CS100" s="150">
        <f>CR100+ROUND(CR100*CS$6,2)</f>
        <v>0</v>
      </c>
      <c r="CT100" s="150">
        <f>CS100+ROUND(CS100*CT$6,2)</f>
        <v>0</v>
      </c>
      <c r="CU100" s="150">
        <f>CT100+ROUND(CT100*CU$6,2)</f>
        <v>0</v>
      </c>
      <c r="CV100" s="150">
        <f>CU100+ROUND(CU100*CV$6,2)</f>
        <v>0</v>
      </c>
      <c r="CW100" s="150">
        <f t="shared" ref="CW100:DG100" si="358">CV100+ROUND(CV100*CW$6,2)</f>
        <v>0</v>
      </c>
      <c r="CX100" s="150">
        <f t="shared" si="358"/>
        <v>0</v>
      </c>
      <c r="CY100" s="150">
        <f t="shared" si="358"/>
        <v>0</v>
      </c>
      <c r="CZ100" s="155">
        <f t="shared" si="358"/>
        <v>0</v>
      </c>
      <c r="DA100" s="155">
        <f t="shared" si="358"/>
        <v>0</v>
      </c>
      <c r="DB100" s="155">
        <f t="shared" si="358"/>
        <v>0</v>
      </c>
      <c r="DC100" s="155">
        <f t="shared" si="358"/>
        <v>0</v>
      </c>
      <c r="DD100" s="155">
        <f t="shared" si="358"/>
        <v>0</v>
      </c>
      <c r="DE100" s="155">
        <f t="shared" si="358"/>
        <v>0</v>
      </c>
      <c r="DF100" s="155">
        <f t="shared" si="358"/>
        <v>0</v>
      </c>
      <c r="DG100" s="155">
        <f t="shared" si="358"/>
        <v>0</v>
      </c>
      <c r="DH100" s="236">
        <v>0</v>
      </c>
      <c r="DI100" s="243">
        <f t="shared" si="311"/>
        <v>2802758.41</v>
      </c>
      <c r="DJ100" s="248">
        <f t="shared" si="312"/>
        <v>3086.7383370044054</v>
      </c>
      <c r="DK100" s="382">
        <f>CA100/'1.piel'!M99</f>
        <v>3086.7383370044054</v>
      </c>
      <c r="DL100">
        <f>DH100/'1.piel'!G99</f>
        <v>0</v>
      </c>
    </row>
    <row r="101" spans="2:116" x14ac:dyDescent="0.25">
      <c r="B101" s="52">
        <v>73</v>
      </c>
      <c r="C101" s="53" t="s">
        <v>108</v>
      </c>
      <c r="D101" s="36" t="s">
        <v>270</v>
      </c>
      <c r="E101" s="110">
        <v>2042</v>
      </c>
      <c r="F101" s="178">
        <v>2049</v>
      </c>
      <c r="G101" s="36">
        <v>10</v>
      </c>
      <c r="H101" s="99">
        <f t="shared" si="252"/>
        <v>2059</v>
      </c>
      <c r="I101" s="94">
        <f t="shared" si="240"/>
        <v>0.6842362127867252</v>
      </c>
      <c r="J101" s="89">
        <v>1402</v>
      </c>
      <c r="K101" s="98">
        <f t="shared" si="241"/>
        <v>0.31576378721327475</v>
      </c>
      <c r="L101" s="99">
        <f t="shared" si="253"/>
        <v>647</v>
      </c>
      <c r="M101" s="174">
        <f t="shared" si="254"/>
        <v>14.1693</v>
      </c>
      <c r="N101" s="64">
        <f t="shared" si="255"/>
        <v>31.880925000000001</v>
      </c>
      <c r="O101" s="64">
        <f t="shared" si="256"/>
        <v>14.1693</v>
      </c>
      <c r="P101" s="64">
        <f t="shared" si="257"/>
        <v>2.83386</v>
      </c>
      <c r="Q101" s="64">
        <f t="shared" si="258"/>
        <v>0.47231000000000001</v>
      </c>
      <c r="R101" s="64">
        <f t="shared" si="259"/>
        <v>3.0700150000000002</v>
      </c>
      <c r="S101" s="64">
        <f t="shared" si="260"/>
        <v>5.1954099999999999</v>
      </c>
      <c r="T101" s="64">
        <f t="shared" si="261"/>
        <v>3.5423249999999999</v>
      </c>
      <c r="U101" s="64">
        <f t="shared" si="262"/>
        <v>0.70846500000000001</v>
      </c>
      <c r="V101" s="64">
        <f t="shared" si="263"/>
        <v>0.1180775</v>
      </c>
      <c r="W101" s="64">
        <f t="shared" si="264"/>
        <v>4.4869450000000004</v>
      </c>
      <c r="X101" s="64">
        <f t="shared" si="265"/>
        <v>7.5569600000000001</v>
      </c>
      <c r="Y101" s="64">
        <f t="shared" si="266"/>
        <v>3.5423249999999999</v>
      </c>
      <c r="Z101" s="64">
        <f t="shared" si="267"/>
        <v>0</v>
      </c>
      <c r="AA101" s="64">
        <f t="shared" si="268"/>
        <v>0</v>
      </c>
      <c r="AB101" s="64">
        <f t="shared" si="269"/>
        <v>6.6123399999999997</v>
      </c>
      <c r="AC101" s="64">
        <f t="shared" si="270"/>
        <v>19.128554999999999</v>
      </c>
      <c r="AD101" s="64">
        <f t="shared" si="271"/>
        <v>7.0846499999999999</v>
      </c>
      <c r="AE101" s="64">
        <f t="shared" si="272"/>
        <v>2.1253950000000001</v>
      </c>
      <c r="AF101" s="64">
        <f t="shared" si="273"/>
        <v>0.35423250000000001</v>
      </c>
      <c r="AG101" s="65">
        <f t="shared" si="274"/>
        <v>30.922799999999999</v>
      </c>
      <c r="AH101" s="65">
        <f t="shared" si="275"/>
        <v>69.576300000000003</v>
      </c>
      <c r="AI101" s="65">
        <f t="shared" si="276"/>
        <v>30.922799999999999</v>
      </c>
      <c r="AJ101" s="65">
        <f t="shared" si="277"/>
        <v>6.1845600000000003</v>
      </c>
      <c r="AK101" s="65">
        <f t="shared" si="278"/>
        <v>1.0307599999999999</v>
      </c>
      <c r="AL101" s="66">
        <v>0.9</v>
      </c>
      <c r="AM101" s="66">
        <v>0.75</v>
      </c>
      <c r="AN101" s="66">
        <v>0.9</v>
      </c>
      <c r="AO101" s="66">
        <v>0.1</v>
      </c>
      <c r="AP101" s="66">
        <v>0.1</v>
      </c>
      <c r="AQ101" s="65">
        <f t="shared" si="279"/>
        <v>30.593533499999999</v>
      </c>
      <c r="AR101" s="65">
        <f t="shared" si="280"/>
        <v>56.078782500000003</v>
      </c>
      <c r="AS101" s="65">
        <f t="shared" si="281"/>
        <v>31.0186125</v>
      </c>
      <c r="AT101" s="65">
        <f t="shared" si="282"/>
        <v>0.68930250000000015</v>
      </c>
      <c r="AU101" s="65">
        <f t="shared" si="283"/>
        <v>0.11488375000000001</v>
      </c>
      <c r="AV101" s="65">
        <f t="shared" si="284"/>
        <v>3.3992815000000007</v>
      </c>
      <c r="AW101" s="65">
        <f t="shared" si="285"/>
        <v>18.692927499999996</v>
      </c>
      <c r="AX101" s="65">
        <f t="shared" si="286"/>
        <v>3.4465125000000008</v>
      </c>
      <c r="AY101" s="65">
        <f t="shared" si="287"/>
        <v>6.2037225000000005</v>
      </c>
      <c r="AZ101" s="65">
        <f t="shared" si="288"/>
        <v>1.03395375</v>
      </c>
      <c r="BA101" s="67">
        <f t="shared" si="289"/>
        <v>45.092100000000002</v>
      </c>
      <c r="BB101" s="67">
        <f t="shared" si="290"/>
        <v>101.45722500000001</v>
      </c>
      <c r="BC101" s="67">
        <f t="shared" si="291"/>
        <v>45.092100000000002</v>
      </c>
      <c r="BD101" s="68">
        <f t="shared" si="292"/>
        <v>9.0184200000000008</v>
      </c>
      <c r="BE101" s="68">
        <f t="shared" si="293"/>
        <v>1.5030699999999999</v>
      </c>
      <c r="BF101" s="67">
        <f t="shared" si="294"/>
        <v>10.0116215</v>
      </c>
      <c r="BG101" s="67">
        <f t="shared" si="295"/>
        <v>37.821482499999995</v>
      </c>
      <c r="BH101" s="67">
        <f t="shared" si="296"/>
        <v>10.531162500000001</v>
      </c>
      <c r="BI101" s="68">
        <f t="shared" si="297"/>
        <v>8.3291175000000006</v>
      </c>
      <c r="BJ101" s="68">
        <f t="shared" si="298"/>
        <v>1.38818625</v>
      </c>
      <c r="BK101" s="67">
        <f t="shared" si="299"/>
        <v>35.080478499999998</v>
      </c>
      <c r="BL101" s="67">
        <f t="shared" si="300"/>
        <v>63.635742500000006</v>
      </c>
      <c r="BM101" s="67">
        <f t="shared" si="301"/>
        <v>34.560937500000001</v>
      </c>
      <c r="BN101" s="68">
        <f t="shared" si="302"/>
        <v>0.68930250000000015</v>
      </c>
      <c r="BO101" s="187">
        <f t="shared" si="303"/>
        <v>0.11488375000000001</v>
      </c>
      <c r="BP101" s="157"/>
      <c r="BQ101" s="148"/>
      <c r="BR101" s="148"/>
      <c r="BS101" s="148"/>
      <c r="BT101" s="148"/>
      <c r="BU101" s="150"/>
      <c r="BV101" s="151">
        <v>898800</v>
      </c>
      <c r="BW101" s="150">
        <f>BV101+ROUND(BV101*$BW$6,2)</f>
        <v>943740</v>
      </c>
      <c r="BX101" s="150">
        <f t="shared" si="322"/>
        <v>1084357.26</v>
      </c>
      <c r="BY101" s="150">
        <f t="shared" si="323"/>
        <v>1088694.69</v>
      </c>
      <c r="BZ101" s="155">
        <f t="shared" si="324"/>
        <v>1113734.67</v>
      </c>
      <c r="CA101" s="179">
        <f t="shared" si="324"/>
        <v>1139350.5699999998</v>
      </c>
      <c r="CB101" s="203">
        <f t="shared" si="304"/>
        <v>108238.30414999998</v>
      </c>
      <c r="CC101" s="198">
        <f t="shared" si="325"/>
        <v>1165555.6299999999</v>
      </c>
      <c r="CD101" s="206">
        <f t="shared" si="305"/>
        <v>110727.78485</v>
      </c>
      <c r="CE101" s="150">
        <f t="shared" si="326"/>
        <v>1192363.4099999999</v>
      </c>
      <c r="CF101" s="206">
        <f t="shared" si="306"/>
        <v>113274.52394999999</v>
      </c>
      <c r="CG101" s="150">
        <f t="shared" si="327"/>
        <v>1219787.77</v>
      </c>
      <c r="CH101" s="206">
        <f t="shared" si="307"/>
        <v>115879.83815</v>
      </c>
      <c r="CI101" s="150">
        <f t="shared" si="328"/>
        <v>1247842.8900000001</v>
      </c>
      <c r="CJ101" s="206">
        <f t="shared" si="308"/>
        <v>118545.07455000002</v>
      </c>
      <c r="CK101" s="150">
        <f t="shared" si="329"/>
        <v>1276543.28</v>
      </c>
      <c r="CL101" s="206">
        <f t="shared" si="309"/>
        <v>121271.6116</v>
      </c>
      <c r="CM101" s="150">
        <f t="shared" si="330"/>
        <v>1305903.78</v>
      </c>
      <c r="CN101" s="150">
        <f t="shared" si="331"/>
        <v>1335939.57</v>
      </c>
      <c r="CO101" s="157"/>
      <c r="CP101" s="148"/>
      <c r="CQ101" s="148"/>
      <c r="CR101" s="148"/>
      <c r="CS101" s="148"/>
      <c r="CT101" s="148"/>
      <c r="CU101" s="151">
        <v>244850</v>
      </c>
      <c r="CV101" s="150">
        <f>CU101+ROUND(CU101*CV$6,2)</f>
        <v>257092.5</v>
      </c>
      <c r="CW101" s="150">
        <f t="shared" ref="CW101:DG101" si="359">CV101+ROUND(CV101*CW$6,2)</f>
        <v>295399.28000000003</v>
      </c>
      <c r="CX101" s="150">
        <f t="shared" si="359"/>
        <v>296580.88</v>
      </c>
      <c r="CY101" s="150">
        <f t="shared" si="359"/>
        <v>303402.23999999999</v>
      </c>
      <c r="CZ101" s="155">
        <f t="shared" si="359"/>
        <v>310987.3</v>
      </c>
      <c r="DA101" s="155">
        <f t="shared" si="359"/>
        <v>318761.98</v>
      </c>
      <c r="DB101" s="155">
        <f t="shared" si="359"/>
        <v>326731.02999999997</v>
      </c>
      <c r="DC101" s="155">
        <f t="shared" si="359"/>
        <v>334899.31</v>
      </c>
      <c r="DD101" s="155">
        <f t="shared" si="359"/>
        <v>343271.79</v>
      </c>
      <c r="DE101" s="155">
        <f t="shared" si="359"/>
        <v>351853.57999999996</v>
      </c>
      <c r="DF101" s="155">
        <f t="shared" si="359"/>
        <v>360649.92</v>
      </c>
      <c r="DG101" s="155">
        <f t="shared" si="359"/>
        <v>369666.17</v>
      </c>
      <c r="DH101" s="236">
        <v>0</v>
      </c>
      <c r="DI101" s="243">
        <f t="shared" si="311"/>
        <v>1139350.5699999998</v>
      </c>
      <c r="DJ101" s="248">
        <f t="shared" si="312"/>
        <v>1760.974605873261</v>
      </c>
      <c r="DK101" s="382">
        <f>CA101/'1.piel'!M100</f>
        <v>1760.974605873261</v>
      </c>
      <c r="DL101">
        <f>DH101/'1.piel'!G100</f>
        <v>0</v>
      </c>
    </row>
    <row r="102" spans="2:116" x14ac:dyDescent="0.25">
      <c r="B102" s="52">
        <v>78</v>
      </c>
      <c r="C102" s="53" t="s">
        <v>116</v>
      </c>
      <c r="D102" s="36" t="s">
        <v>270</v>
      </c>
      <c r="E102" s="110">
        <v>1888</v>
      </c>
      <c r="F102" s="178">
        <v>1505</v>
      </c>
      <c r="G102" s="36">
        <v>0</v>
      </c>
      <c r="H102" s="99">
        <f t="shared" si="252"/>
        <v>1505</v>
      </c>
      <c r="I102" s="94">
        <f t="shared" si="240"/>
        <v>0.25116279069767444</v>
      </c>
      <c r="J102" s="89">
        <v>378</v>
      </c>
      <c r="K102" s="98">
        <f t="shared" si="241"/>
        <v>0.74883720930232556</v>
      </c>
      <c r="L102" s="99">
        <f t="shared" si="253"/>
        <v>1127</v>
      </c>
      <c r="M102" s="174">
        <f t="shared" si="254"/>
        <v>24.6813</v>
      </c>
      <c r="N102" s="64">
        <f t="shared" si="255"/>
        <v>55.532924999999999</v>
      </c>
      <c r="O102" s="64">
        <f t="shared" si="256"/>
        <v>24.6813</v>
      </c>
      <c r="P102" s="64">
        <f t="shared" si="257"/>
        <v>4.9362599999999999</v>
      </c>
      <c r="Q102" s="64">
        <f t="shared" si="258"/>
        <v>0.82271000000000005</v>
      </c>
      <c r="R102" s="64">
        <f t="shared" si="259"/>
        <v>5.3476150000000002</v>
      </c>
      <c r="S102" s="64">
        <f t="shared" si="260"/>
        <v>9.0498100000000008</v>
      </c>
      <c r="T102" s="64">
        <f t="shared" si="261"/>
        <v>6.1703250000000001</v>
      </c>
      <c r="U102" s="64">
        <f t="shared" si="262"/>
        <v>1.234065</v>
      </c>
      <c r="V102" s="64">
        <f t="shared" si="263"/>
        <v>0.20567750000000001</v>
      </c>
      <c r="W102" s="64">
        <f t="shared" si="264"/>
        <v>7.8157449999999997</v>
      </c>
      <c r="X102" s="64">
        <f t="shared" si="265"/>
        <v>13.163360000000001</v>
      </c>
      <c r="Y102" s="64">
        <f t="shared" si="266"/>
        <v>6.1703250000000001</v>
      </c>
      <c r="Z102" s="64">
        <f t="shared" si="267"/>
        <v>0</v>
      </c>
      <c r="AA102" s="64">
        <f t="shared" si="268"/>
        <v>0</v>
      </c>
      <c r="AB102" s="64">
        <f t="shared" si="269"/>
        <v>11.517939999999999</v>
      </c>
      <c r="AC102" s="64">
        <f t="shared" si="270"/>
        <v>33.319755000000001</v>
      </c>
      <c r="AD102" s="64">
        <f t="shared" si="271"/>
        <v>12.34065</v>
      </c>
      <c r="AE102" s="64">
        <f t="shared" si="272"/>
        <v>3.7021950000000001</v>
      </c>
      <c r="AF102" s="64">
        <f t="shared" si="273"/>
        <v>0.61703249999999998</v>
      </c>
      <c r="AG102" s="65">
        <f t="shared" si="274"/>
        <v>8.2782</v>
      </c>
      <c r="AH102" s="65">
        <f t="shared" si="275"/>
        <v>18.62595</v>
      </c>
      <c r="AI102" s="65">
        <f t="shared" si="276"/>
        <v>8.2782</v>
      </c>
      <c r="AJ102" s="65">
        <f t="shared" si="277"/>
        <v>1.65564</v>
      </c>
      <c r="AK102" s="65">
        <f t="shared" si="278"/>
        <v>0.27594000000000002</v>
      </c>
      <c r="AL102" s="66">
        <v>0.9</v>
      </c>
      <c r="AM102" s="66">
        <v>0.75</v>
      </c>
      <c r="AN102" s="66">
        <v>0.9</v>
      </c>
      <c r="AO102" s="66">
        <v>0.1</v>
      </c>
      <c r="AP102" s="66">
        <v>0.1</v>
      </c>
      <c r="AQ102" s="65">
        <f t="shared" si="279"/>
        <v>12.2632335</v>
      </c>
      <c r="AR102" s="65">
        <f t="shared" si="280"/>
        <v>20.756820000000001</v>
      </c>
      <c r="AS102" s="65">
        <f t="shared" si="281"/>
        <v>13.0036725</v>
      </c>
      <c r="AT102" s="65">
        <f t="shared" si="282"/>
        <v>0.28897050000000002</v>
      </c>
      <c r="AU102" s="65">
        <f t="shared" si="283"/>
        <v>4.8161750000000003E-2</v>
      </c>
      <c r="AV102" s="65">
        <f t="shared" si="284"/>
        <v>1.3625814999999992</v>
      </c>
      <c r="AW102" s="65">
        <f t="shared" si="285"/>
        <v>6.9189399999999992</v>
      </c>
      <c r="AX102" s="65">
        <f t="shared" si="286"/>
        <v>1.4448524999999997</v>
      </c>
      <c r="AY102" s="65">
        <f t="shared" si="287"/>
        <v>2.6007345000000002</v>
      </c>
      <c r="AZ102" s="65">
        <f t="shared" si="288"/>
        <v>0.43345575000000003</v>
      </c>
      <c r="BA102" s="67">
        <f t="shared" si="289"/>
        <v>32.959499999999998</v>
      </c>
      <c r="BB102" s="67">
        <f t="shared" si="290"/>
        <v>74.158874999999995</v>
      </c>
      <c r="BC102" s="67">
        <f t="shared" si="291"/>
        <v>32.959499999999998</v>
      </c>
      <c r="BD102" s="68">
        <f t="shared" si="292"/>
        <v>6.5918999999999999</v>
      </c>
      <c r="BE102" s="68">
        <f t="shared" si="293"/>
        <v>1.0986500000000001</v>
      </c>
      <c r="BF102" s="67">
        <f t="shared" si="294"/>
        <v>12.880521499999999</v>
      </c>
      <c r="BG102" s="67">
        <f t="shared" si="295"/>
        <v>40.238695</v>
      </c>
      <c r="BH102" s="67">
        <f t="shared" si="296"/>
        <v>13.7855025</v>
      </c>
      <c r="BI102" s="68">
        <f t="shared" si="297"/>
        <v>6.3029295000000003</v>
      </c>
      <c r="BJ102" s="68">
        <f t="shared" si="298"/>
        <v>1.0504882499999999</v>
      </c>
      <c r="BK102" s="67">
        <f t="shared" si="299"/>
        <v>20.078978499999998</v>
      </c>
      <c r="BL102" s="67">
        <f t="shared" si="300"/>
        <v>33.920180000000002</v>
      </c>
      <c r="BM102" s="67">
        <f t="shared" si="301"/>
        <v>19.173997499999999</v>
      </c>
      <c r="BN102" s="68">
        <f t="shared" si="302"/>
        <v>0.28897050000000002</v>
      </c>
      <c r="BO102" s="187">
        <f t="shared" si="303"/>
        <v>4.8161750000000003E-2</v>
      </c>
      <c r="BP102" s="157"/>
      <c r="BQ102" s="148"/>
      <c r="BR102" s="148"/>
      <c r="BS102" s="148"/>
      <c r="BT102" s="148"/>
      <c r="BU102" s="148"/>
      <c r="BV102" s="151">
        <v>1335300</v>
      </c>
      <c r="BW102" s="150">
        <f>BV102+ROUND(BV102*$BW$6,2)</f>
        <v>1402065</v>
      </c>
      <c r="BX102" s="150">
        <f t="shared" si="322"/>
        <v>1610972.69</v>
      </c>
      <c r="BY102" s="150">
        <f t="shared" si="323"/>
        <v>1617416.5799999998</v>
      </c>
      <c r="BZ102" s="155">
        <f t="shared" si="324"/>
        <v>1654617.16</v>
      </c>
      <c r="CA102" s="415">
        <f t="shared" si="324"/>
        <v>1692673.3499999999</v>
      </c>
      <c r="CB102" s="203">
        <f t="shared" si="304"/>
        <v>160803.96824999998</v>
      </c>
      <c r="CC102" s="198">
        <f t="shared" si="325"/>
        <v>1731604.8399999999</v>
      </c>
      <c r="CD102" s="206">
        <f t="shared" si="305"/>
        <v>164502.45979999998</v>
      </c>
      <c r="CE102" s="150">
        <f t="shared" si="326"/>
        <v>1771431.7499999998</v>
      </c>
      <c r="CF102" s="206">
        <f t="shared" si="306"/>
        <v>168286.01624999999</v>
      </c>
      <c r="CG102" s="150">
        <f t="shared" si="327"/>
        <v>1812174.6799999997</v>
      </c>
      <c r="CH102" s="206">
        <f t="shared" si="307"/>
        <v>172156.59459999998</v>
      </c>
      <c r="CI102" s="150">
        <f t="shared" si="328"/>
        <v>1853854.6999999997</v>
      </c>
      <c r="CJ102" s="206">
        <f t="shared" si="308"/>
        <v>176116.19649999996</v>
      </c>
      <c r="CK102" s="150">
        <f t="shared" si="329"/>
        <v>1896493.3599999996</v>
      </c>
      <c r="CL102" s="206">
        <f t="shared" si="309"/>
        <v>180166.86919999996</v>
      </c>
      <c r="CM102" s="150">
        <f t="shared" si="330"/>
        <v>1940112.7099999997</v>
      </c>
      <c r="CN102" s="150">
        <f t="shared" si="331"/>
        <v>1984735.2999999998</v>
      </c>
      <c r="CO102" s="157"/>
      <c r="CP102" s="148"/>
      <c r="CQ102" s="148"/>
      <c r="CR102" s="148"/>
      <c r="CS102" s="148"/>
      <c r="CT102" s="148"/>
      <c r="CU102" s="151">
        <v>155600</v>
      </c>
      <c r="CV102" s="150">
        <f>CU102+ROUND(CU102*CV$6,2)</f>
        <v>163380</v>
      </c>
      <c r="CW102" s="150">
        <f t="shared" ref="CW102:DG102" si="360">CV102+ROUND(CV102*CW$6,2)</f>
        <v>187723.62</v>
      </c>
      <c r="CX102" s="150">
        <f t="shared" si="360"/>
        <v>188474.51</v>
      </c>
      <c r="CY102" s="150">
        <f t="shared" si="360"/>
        <v>192809.42</v>
      </c>
      <c r="CZ102" s="155">
        <f t="shared" si="360"/>
        <v>197629.66</v>
      </c>
      <c r="DA102" s="155">
        <f t="shared" si="360"/>
        <v>202570.4</v>
      </c>
      <c r="DB102" s="155">
        <f t="shared" si="360"/>
        <v>207634.66</v>
      </c>
      <c r="DC102" s="155">
        <f t="shared" si="360"/>
        <v>212825.53</v>
      </c>
      <c r="DD102" s="155">
        <f t="shared" si="360"/>
        <v>218146.17</v>
      </c>
      <c r="DE102" s="155">
        <f t="shared" si="360"/>
        <v>223599.82</v>
      </c>
      <c r="DF102" s="155">
        <f t="shared" si="360"/>
        <v>229189.82</v>
      </c>
      <c r="DG102" s="155">
        <f t="shared" si="360"/>
        <v>234919.57</v>
      </c>
      <c r="DH102" s="236">
        <v>0</v>
      </c>
      <c r="DI102" s="243">
        <f t="shared" si="311"/>
        <v>1692673.3499999999</v>
      </c>
      <c r="DJ102" s="248">
        <f t="shared" si="312"/>
        <v>1501.9284383318543</v>
      </c>
      <c r="DK102" s="382">
        <f>CA102/'1.piel'!M101</f>
        <v>1501.9284383318543</v>
      </c>
      <c r="DL102">
        <f>DH102/'1.piel'!G101</f>
        <v>0</v>
      </c>
    </row>
    <row r="103" spans="2:116" x14ac:dyDescent="0.25">
      <c r="B103" s="52">
        <v>79</v>
      </c>
      <c r="C103" s="53" t="s">
        <v>117</v>
      </c>
      <c r="D103" s="40" t="s">
        <v>270</v>
      </c>
      <c r="E103" s="110">
        <v>1730</v>
      </c>
      <c r="F103" s="178">
        <v>1868</v>
      </c>
      <c r="G103" s="36">
        <v>200</v>
      </c>
      <c r="H103" s="99">
        <f t="shared" si="252"/>
        <v>2068</v>
      </c>
      <c r="I103" s="94">
        <f t="shared" si="240"/>
        <v>0.51980728051391867</v>
      </c>
      <c r="J103" s="103">
        <v>971</v>
      </c>
      <c r="K103" s="98">
        <f t="shared" si="241"/>
        <v>0.48019271948608139</v>
      </c>
      <c r="L103" s="99">
        <f t="shared" si="253"/>
        <v>897</v>
      </c>
      <c r="M103" s="174">
        <f t="shared" si="254"/>
        <v>19.644300000000001</v>
      </c>
      <c r="N103" s="64">
        <f t="shared" si="255"/>
        <v>44.199674999999999</v>
      </c>
      <c r="O103" s="64">
        <f t="shared" si="256"/>
        <v>19.644300000000001</v>
      </c>
      <c r="P103" s="64">
        <f t="shared" si="257"/>
        <v>3.9288599999999998</v>
      </c>
      <c r="Q103" s="64">
        <f t="shared" si="258"/>
        <v>0.65481</v>
      </c>
      <c r="R103" s="64">
        <f t="shared" si="259"/>
        <v>4.256265</v>
      </c>
      <c r="S103" s="64">
        <f t="shared" si="260"/>
        <v>7.2029100000000001</v>
      </c>
      <c r="T103" s="64">
        <f t="shared" si="261"/>
        <v>4.9110750000000003</v>
      </c>
      <c r="U103" s="64">
        <f t="shared" si="262"/>
        <v>0.98221499999999995</v>
      </c>
      <c r="V103" s="64">
        <f t="shared" si="263"/>
        <v>0.1637025</v>
      </c>
      <c r="W103" s="64">
        <f t="shared" si="264"/>
        <v>6.2206950000000001</v>
      </c>
      <c r="X103" s="64">
        <f t="shared" si="265"/>
        <v>10.47696</v>
      </c>
      <c r="Y103" s="64">
        <f t="shared" si="266"/>
        <v>4.9110750000000003</v>
      </c>
      <c r="Z103" s="64">
        <f t="shared" si="267"/>
        <v>0</v>
      </c>
      <c r="AA103" s="64">
        <f t="shared" si="268"/>
        <v>0</v>
      </c>
      <c r="AB103" s="64">
        <f t="shared" si="269"/>
        <v>9.1673399999999994</v>
      </c>
      <c r="AC103" s="64">
        <f t="shared" si="270"/>
        <v>26.519805000000002</v>
      </c>
      <c r="AD103" s="64">
        <f t="shared" si="271"/>
        <v>9.8221500000000006</v>
      </c>
      <c r="AE103" s="64">
        <f t="shared" si="272"/>
        <v>2.9466450000000002</v>
      </c>
      <c r="AF103" s="64">
        <f t="shared" si="273"/>
        <v>0.49110749999999997</v>
      </c>
      <c r="AG103" s="65">
        <f t="shared" si="274"/>
        <v>25.6449</v>
      </c>
      <c r="AH103" s="65">
        <f t="shared" si="275"/>
        <v>57.701025000000001</v>
      </c>
      <c r="AI103" s="65">
        <f t="shared" si="276"/>
        <v>25.6449</v>
      </c>
      <c r="AJ103" s="65">
        <f t="shared" si="277"/>
        <v>5.1289800000000003</v>
      </c>
      <c r="AK103" s="65">
        <f t="shared" si="278"/>
        <v>0.85482999999999998</v>
      </c>
      <c r="AL103" s="66">
        <v>0.9</v>
      </c>
      <c r="AM103" s="66">
        <v>0.75</v>
      </c>
      <c r="AN103" s="66">
        <v>0.9</v>
      </c>
      <c r="AO103" s="66">
        <v>0.1</v>
      </c>
      <c r="AP103" s="66">
        <v>0.1</v>
      </c>
      <c r="AQ103" s="65">
        <f t="shared" si="279"/>
        <v>26.9110485</v>
      </c>
      <c r="AR103" s="65">
        <f t="shared" si="280"/>
        <v>48.677951250000007</v>
      </c>
      <c r="AS103" s="65">
        <f t="shared" si="281"/>
        <v>27.500377499999999</v>
      </c>
      <c r="AT103" s="65">
        <f t="shared" si="282"/>
        <v>0.61111950000000004</v>
      </c>
      <c r="AU103" s="65">
        <f t="shared" si="283"/>
        <v>0.10185325000000001</v>
      </c>
      <c r="AV103" s="65">
        <f t="shared" si="284"/>
        <v>2.9901164999999992</v>
      </c>
      <c r="AW103" s="65">
        <f t="shared" si="285"/>
        <v>16.225983749999997</v>
      </c>
      <c r="AX103" s="65">
        <f t="shared" si="286"/>
        <v>3.0555975000000011</v>
      </c>
      <c r="AY103" s="65">
        <f t="shared" si="287"/>
        <v>5.5000755000000003</v>
      </c>
      <c r="AZ103" s="65">
        <f t="shared" si="288"/>
        <v>0.91667925000000006</v>
      </c>
      <c r="BA103" s="67">
        <f t="shared" si="289"/>
        <v>45.289200000000001</v>
      </c>
      <c r="BB103" s="67">
        <f t="shared" si="290"/>
        <v>101.9007</v>
      </c>
      <c r="BC103" s="67">
        <f t="shared" si="291"/>
        <v>45.289200000000001</v>
      </c>
      <c r="BD103" s="68">
        <f t="shared" si="292"/>
        <v>9.0578400000000006</v>
      </c>
      <c r="BE103" s="68">
        <f t="shared" si="293"/>
        <v>1.5096400000000001</v>
      </c>
      <c r="BF103" s="67">
        <f t="shared" si="294"/>
        <v>12.157456499999999</v>
      </c>
      <c r="BG103" s="67">
        <f t="shared" si="295"/>
        <v>42.745788750000003</v>
      </c>
      <c r="BH103" s="67">
        <f t="shared" si="296"/>
        <v>12.877747500000002</v>
      </c>
      <c r="BI103" s="68">
        <f t="shared" si="297"/>
        <v>8.4467205000000014</v>
      </c>
      <c r="BJ103" s="68">
        <f t="shared" si="298"/>
        <v>1.4077867500000001</v>
      </c>
      <c r="BK103" s="67">
        <f t="shared" si="299"/>
        <v>33.131743499999999</v>
      </c>
      <c r="BL103" s="67">
        <f t="shared" si="300"/>
        <v>59.154911250000005</v>
      </c>
      <c r="BM103" s="67">
        <f t="shared" si="301"/>
        <v>32.411452499999996</v>
      </c>
      <c r="BN103" s="68">
        <f t="shared" si="302"/>
        <v>0.61111950000000004</v>
      </c>
      <c r="BO103" s="187">
        <f t="shared" si="303"/>
        <v>0.10185325000000001</v>
      </c>
      <c r="BP103" s="157"/>
      <c r="BQ103" s="148"/>
      <c r="BR103" s="148"/>
      <c r="BS103" s="148"/>
      <c r="BT103" s="148"/>
      <c r="BU103" s="148"/>
      <c r="BV103" s="148"/>
      <c r="BW103" s="150"/>
      <c r="BX103" s="151">
        <v>1748218</v>
      </c>
      <c r="BY103" s="150">
        <f t="shared" si="323"/>
        <v>1755210.87</v>
      </c>
      <c r="BZ103" s="155">
        <f t="shared" si="324"/>
        <v>1795580.7200000002</v>
      </c>
      <c r="CA103" s="179">
        <f t="shared" si="324"/>
        <v>1836879.0800000003</v>
      </c>
      <c r="CB103" s="203">
        <f t="shared" si="304"/>
        <v>174503.51260000005</v>
      </c>
      <c r="CC103" s="198">
        <f t="shared" si="325"/>
        <v>1879127.3000000003</v>
      </c>
      <c r="CD103" s="206">
        <f t="shared" si="305"/>
        <v>178517.09350000002</v>
      </c>
      <c r="CE103" s="150">
        <f t="shared" si="326"/>
        <v>1922347.2300000002</v>
      </c>
      <c r="CF103" s="206">
        <f t="shared" si="306"/>
        <v>182622.98685000002</v>
      </c>
      <c r="CG103" s="150">
        <f t="shared" si="327"/>
        <v>1966561.2200000002</v>
      </c>
      <c r="CH103" s="206">
        <f t="shared" si="307"/>
        <v>186823.31590000002</v>
      </c>
      <c r="CI103" s="150">
        <f t="shared" si="328"/>
        <v>2011792.1300000001</v>
      </c>
      <c r="CJ103" s="206">
        <f t="shared" si="308"/>
        <v>191120.25235000002</v>
      </c>
      <c r="CK103" s="150">
        <f t="shared" si="329"/>
        <v>2058063.35</v>
      </c>
      <c r="CL103" s="206">
        <f t="shared" si="309"/>
        <v>195516.01825000002</v>
      </c>
      <c r="CM103" s="150">
        <f t="shared" si="330"/>
        <v>2105398.81</v>
      </c>
      <c r="CN103" s="150">
        <f t="shared" si="331"/>
        <v>2153822.98</v>
      </c>
      <c r="CO103" s="157"/>
      <c r="CP103" s="148"/>
      <c r="CQ103" s="148"/>
      <c r="CR103" s="148"/>
      <c r="CS103" s="148"/>
      <c r="CT103" s="148"/>
      <c r="CU103" s="148"/>
      <c r="CV103" s="150"/>
      <c r="CW103" s="151">
        <v>132400</v>
      </c>
      <c r="CX103" s="150">
        <f t="shared" ref="CX103:DG103" si="361">CW103+ROUND(CW103*CX$6,2)</f>
        <v>132929.60000000001</v>
      </c>
      <c r="CY103" s="150">
        <f t="shared" si="361"/>
        <v>135986.98000000001</v>
      </c>
      <c r="CZ103" s="155">
        <f t="shared" si="361"/>
        <v>139386.65000000002</v>
      </c>
      <c r="DA103" s="155">
        <f t="shared" si="361"/>
        <v>142871.32000000004</v>
      </c>
      <c r="DB103" s="155">
        <f t="shared" si="361"/>
        <v>146443.10000000003</v>
      </c>
      <c r="DC103" s="155">
        <f t="shared" si="361"/>
        <v>150104.18000000002</v>
      </c>
      <c r="DD103" s="155">
        <f t="shared" si="361"/>
        <v>153856.78000000003</v>
      </c>
      <c r="DE103" s="155">
        <f t="shared" si="361"/>
        <v>157703.20000000004</v>
      </c>
      <c r="DF103" s="155">
        <f t="shared" si="361"/>
        <v>161645.78000000003</v>
      </c>
      <c r="DG103" s="155">
        <f t="shared" si="361"/>
        <v>165686.92000000004</v>
      </c>
      <c r="DH103" s="236">
        <v>0</v>
      </c>
      <c r="DI103" s="243">
        <f t="shared" si="311"/>
        <v>1836879.0800000003</v>
      </c>
      <c r="DJ103" s="248">
        <f t="shared" si="312"/>
        <v>2047.8027647714607</v>
      </c>
      <c r="DK103" s="382">
        <f>CA103/'1.piel'!M102</f>
        <v>2047.8027647714607</v>
      </c>
      <c r="DL103">
        <f>DH103/'1.piel'!G102</f>
        <v>0</v>
      </c>
    </row>
    <row r="104" spans="2:116" ht="15.75" thickBot="1" x14ac:dyDescent="0.3">
      <c r="B104" s="57">
        <v>81</v>
      </c>
      <c r="C104" s="61" t="s">
        <v>119</v>
      </c>
      <c r="D104" s="58" t="s">
        <v>270</v>
      </c>
      <c r="E104" s="180">
        <v>1679</v>
      </c>
      <c r="F104" s="280">
        <v>2004</v>
      </c>
      <c r="G104" s="58">
        <v>765</v>
      </c>
      <c r="H104" s="176">
        <f t="shared" si="252"/>
        <v>2769</v>
      </c>
      <c r="I104" s="95">
        <f t="shared" si="240"/>
        <v>0.90319361277445109</v>
      </c>
      <c r="J104" s="90">
        <v>1810</v>
      </c>
      <c r="K104" s="102">
        <f t="shared" si="241"/>
        <v>9.6806387225548907E-2</v>
      </c>
      <c r="L104" s="176">
        <f t="shared" si="253"/>
        <v>194</v>
      </c>
      <c r="M104" s="175">
        <f t="shared" si="254"/>
        <v>4.2485999999999997</v>
      </c>
      <c r="N104" s="77">
        <f t="shared" si="255"/>
        <v>9.5593500000000002</v>
      </c>
      <c r="O104" s="77">
        <f t="shared" si="256"/>
        <v>4.2485999999999997</v>
      </c>
      <c r="P104" s="77">
        <f t="shared" si="257"/>
        <v>0.84972000000000003</v>
      </c>
      <c r="Q104" s="77">
        <f t="shared" si="258"/>
        <v>0.14162</v>
      </c>
      <c r="R104" s="77">
        <f t="shared" si="259"/>
        <v>0.92052999999999996</v>
      </c>
      <c r="S104" s="77">
        <f t="shared" si="260"/>
        <v>1.55782</v>
      </c>
      <c r="T104" s="77">
        <f t="shared" si="261"/>
        <v>1.0621499999999999</v>
      </c>
      <c r="U104" s="77">
        <f t="shared" si="262"/>
        <v>0.21243000000000001</v>
      </c>
      <c r="V104" s="77">
        <f t="shared" si="263"/>
        <v>3.5404999999999999E-2</v>
      </c>
      <c r="W104" s="77">
        <f t="shared" si="264"/>
        <v>1.3453900000000001</v>
      </c>
      <c r="X104" s="77">
        <f t="shared" si="265"/>
        <v>2.2659199999999999</v>
      </c>
      <c r="Y104" s="77">
        <f t="shared" si="266"/>
        <v>1.0621499999999999</v>
      </c>
      <c r="Z104" s="77">
        <f t="shared" si="267"/>
        <v>0</v>
      </c>
      <c r="AA104" s="77">
        <f t="shared" si="268"/>
        <v>0</v>
      </c>
      <c r="AB104" s="77">
        <f t="shared" si="269"/>
        <v>1.98268</v>
      </c>
      <c r="AC104" s="77">
        <f t="shared" si="270"/>
        <v>5.7356100000000003</v>
      </c>
      <c r="AD104" s="77">
        <f t="shared" si="271"/>
        <v>2.1242999999999999</v>
      </c>
      <c r="AE104" s="77">
        <f t="shared" si="272"/>
        <v>0.63729000000000002</v>
      </c>
      <c r="AF104" s="77">
        <f t="shared" si="273"/>
        <v>0.106215</v>
      </c>
      <c r="AG104" s="78">
        <f t="shared" si="274"/>
        <v>56.392499999999998</v>
      </c>
      <c r="AH104" s="78">
        <f t="shared" si="275"/>
        <v>126.88312500000001</v>
      </c>
      <c r="AI104" s="78">
        <f t="shared" si="276"/>
        <v>56.392499999999998</v>
      </c>
      <c r="AJ104" s="78">
        <f t="shared" si="277"/>
        <v>11.278499999999999</v>
      </c>
      <c r="AK104" s="78">
        <f t="shared" si="278"/>
        <v>1.87975</v>
      </c>
      <c r="AL104" s="79">
        <v>0.9</v>
      </c>
      <c r="AM104" s="79">
        <v>0.75</v>
      </c>
      <c r="AN104" s="79">
        <v>0.9</v>
      </c>
      <c r="AO104" s="79">
        <v>0.1</v>
      </c>
      <c r="AP104" s="79">
        <v>0.1</v>
      </c>
      <c r="AQ104" s="78">
        <f t="shared" si="279"/>
        <v>51.581727000000001</v>
      </c>
      <c r="AR104" s="78">
        <f t="shared" si="280"/>
        <v>96.330708749999999</v>
      </c>
      <c r="AS104" s="78">
        <f t="shared" si="281"/>
        <v>51.709185000000005</v>
      </c>
      <c r="AT104" s="78">
        <f t="shared" si="282"/>
        <v>1.1490929999999999</v>
      </c>
      <c r="AU104" s="78">
        <f t="shared" si="283"/>
        <v>0.19151550000000001</v>
      </c>
      <c r="AV104" s="78">
        <f t="shared" si="284"/>
        <v>5.7313029999999969</v>
      </c>
      <c r="AW104" s="78">
        <f t="shared" si="285"/>
        <v>32.11023625</v>
      </c>
      <c r="AX104" s="78">
        <f t="shared" si="286"/>
        <v>5.7454649999999958</v>
      </c>
      <c r="AY104" s="78">
        <f t="shared" si="287"/>
        <v>10.341836999999998</v>
      </c>
      <c r="AZ104" s="78">
        <f t="shared" si="288"/>
        <v>1.7236395</v>
      </c>
      <c r="BA104" s="80">
        <f t="shared" si="289"/>
        <v>60.641099999999994</v>
      </c>
      <c r="BB104" s="80">
        <f t="shared" si="290"/>
        <v>136.442475</v>
      </c>
      <c r="BC104" s="80">
        <f t="shared" si="291"/>
        <v>60.641099999999994</v>
      </c>
      <c r="BD104" s="81">
        <f t="shared" si="292"/>
        <v>12.128219999999999</v>
      </c>
      <c r="BE104" s="81">
        <f t="shared" si="293"/>
        <v>2.0213700000000001</v>
      </c>
      <c r="BF104" s="80">
        <f t="shared" si="294"/>
        <v>7.7139829999999971</v>
      </c>
      <c r="BG104" s="80">
        <f t="shared" si="295"/>
        <v>37.845846250000001</v>
      </c>
      <c r="BH104" s="80">
        <f t="shared" si="296"/>
        <v>7.8697649999999957</v>
      </c>
      <c r="BI104" s="81">
        <f t="shared" si="297"/>
        <v>10.979126999999998</v>
      </c>
      <c r="BJ104" s="81">
        <f t="shared" si="298"/>
        <v>1.8298544999999999</v>
      </c>
      <c r="BK104" s="80">
        <f t="shared" si="299"/>
        <v>52.927117000000003</v>
      </c>
      <c r="BL104" s="80">
        <f t="shared" si="300"/>
        <v>98.596628749999994</v>
      </c>
      <c r="BM104" s="80">
        <f t="shared" si="301"/>
        <v>52.771335000000008</v>
      </c>
      <c r="BN104" s="81">
        <f t="shared" si="302"/>
        <v>1.1490929999999999</v>
      </c>
      <c r="BO104" s="188">
        <f t="shared" si="303"/>
        <v>0.19151550000000001</v>
      </c>
      <c r="BP104" s="159"/>
      <c r="BQ104" s="152"/>
      <c r="BR104" s="152"/>
      <c r="BS104" s="152"/>
      <c r="BT104" s="152"/>
      <c r="BU104" s="152"/>
      <c r="BV104" s="153">
        <v>224655</v>
      </c>
      <c r="BW104" s="154">
        <f>BV104+ROUND(BV104*$BW$6,2)</f>
        <v>235887.75</v>
      </c>
      <c r="BX104" s="154">
        <f>BW104+ROUND(BW104*$BX$6,2)</f>
        <v>271035.02</v>
      </c>
      <c r="BY104" s="154">
        <f t="shared" si="323"/>
        <v>272119.16000000003</v>
      </c>
      <c r="BZ104" s="156">
        <f t="shared" si="324"/>
        <v>278377.90000000002</v>
      </c>
      <c r="CA104" s="201">
        <f t="shared" si="324"/>
        <v>284780.59000000003</v>
      </c>
      <c r="CB104" s="204">
        <f t="shared" si="304"/>
        <v>27054.156050000001</v>
      </c>
      <c r="CC104" s="199">
        <f t="shared" si="325"/>
        <v>291330.54000000004</v>
      </c>
      <c r="CD104" s="206">
        <f t="shared" si="305"/>
        <v>27676.401300000005</v>
      </c>
      <c r="CE104" s="154">
        <f t="shared" si="326"/>
        <v>298031.14</v>
      </c>
      <c r="CF104" s="206">
        <f t="shared" si="306"/>
        <v>28312.958300000002</v>
      </c>
      <c r="CG104" s="154">
        <f t="shared" si="327"/>
        <v>304885.86</v>
      </c>
      <c r="CH104" s="206">
        <f t="shared" si="307"/>
        <v>28964.1567</v>
      </c>
      <c r="CI104" s="154">
        <f t="shared" si="328"/>
        <v>311898.23</v>
      </c>
      <c r="CJ104" s="206">
        <f t="shared" si="308"/>
        <v>29630.331849999999</v>
      </c>
      <c r="CK104" s="154">
        <f t="shared" si="329"/>
        <v>319071.88999999996</v>
      </c>
      <c r="CL104" s="206">
        <f t="shared" si="309"/>
        <v>30311.829549999995</v>
      </c>
      <c r="CM104" s="154">
        <f t="shared" si="330"/>
        <v>326410.53999999998</v>
      </c>
      <c r="CN104" s="154">
        <f t="shared" si="331"/>
        <v>333917.98</v>
      </c>
      <c r="CO104" s="159"/>
      <c r="CP104" s="152"/>
      <c r="CQ104" s="152"/>
      <c r="CR104" s="152"/>
      <c r="CS104" s="152"/>
      <c r="CT104" s="152"/>
      <c r="CU104" s="153">
        <v>133755</v>
      </c>
      <c r="CV104" s="154">
        <f>CU104+ROUND(CU104*CV$6,2)</f>
        <v>140442.75</v>
      </c>
      <c r="CW104" s="154">
        <f>CV104+ROUND(CV104*CW$6,2)</f>
        <v>161368.72</v>
      </c>
      <c r="CX104" s="154">
        <f t="shared" ref="CX104:DG104" si="362">CW104+ROUND(CW104*CX$6,2)</f>
        <v>162014.19</v>
      </c>
      <c r="CY104" s="154">
        <f t="shared" si="362"/>
        <v>165740.51999999999</v>
      </c>
      <c r="CZ104" s="156">
        <f t="shared" si="362"/>
        <v>169884.03</v>
      </c>
      <c r="DA104" s="156">
        <f t="shared" si="362"/>
        <v>174131.13</v>
      </c>
      <c r="DB104" s="156">
        <f t="shared" si="362"/>
        <v>178484.41</v>
      </c>
      <c r="DC104" s="156">
        <f t="shared" si="362"/>
        <v>182946.52</v>
      </c>
      <c r="DD104" s="156">
        <f t="shared" si="362"/>
        <v>187520.18</v>
      </c>
      <c r="DE104" s="156">
        <f t="shared" si="362"/>
        <v>192208.18</v>
      </c>
      <c r="DF104" s="156">
        <f t="shared" si="362"/>
        <v>197013.38</v>
      </c>
      <c r="DG104" s="156">
        <f t="shared" si="362"/>
        <v>201938.71</v>
      </c>
      <c r="DH104" s="238">
        <v>0</v>
      </c>
      <c r="DI104" s="243">
        <f t="shared" si="311"/>
        <v>284780.59000000003</v>
      </c>
      <c r="DJ104" s="248">
        <f t="shared" si="312"/>
        <v>1467.9411855670105</v>
      </c>
      <c r="DK104" s="382">
        <f>CA104/'1.piel'!M103</f>
        <v>1467.9411855670105</v>
      </c>
      <c r="DL104">
        <f>DH104/'1.piel'!G103</f>
        <v>0</v>
      </c>
    </row>
    <row r="105" spans="2:116" ht="16.5" thickBot="1" x14ac:dyDescent="0.3">
      <c r="B105" s="507" t="s">
        <v>371</v>
      </c>
      <c r="C105" s="507"/>
      <c r="D105" s="507"/>
      <c r="E105" s="507"/>
      <c r="F105" s="507"/>
      <c r="G105" s="507"/>
      <c r="H105" s="507"/>
      <c r="I105" s="507"/>
      <c r="J105" s="507"/>
      <c r="K105" s="507"/>
      <c r="L105" s="507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21"/>
      <c r="AH105" s="21"/>
      <c r="AI105" s="21"/>
      <c r="AJ105" s="21"/>
      <c r="AK105" s="21"/>
      <c r="AL105" s="22"/>
      <c r="AM105" s="22"/>
      <c r="AN105" s="22"/>
      <c r="AO105" s="22"/>
      <c r="AP105" s="22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356"/>
      <c r="BB105" s="356"/>
      <c r="BC105" s="356"/>
      <c r="BD105" s="357"/>
      <c r="BE105" s="357"/>
      <c r="BF105" s="356"/>
      <c r="BG105" s="356"/>
      <c r="BH105" s="356"/>
      <c r="BI105" s="357"/>
      <c r="BJ105" s="357"/>
      <c r="BK105" s="356"/>
      <c r="BL105" s="356"/>
      <c r="BM105" s="356"/>
      <c r="BN105" s="357"/>
      <c r="BO105" s="357"/>
      <c r="BP105" s="381"/>
      <c r="BQ105" s="381"/>
      <c r="BR105" s="381"/>
      <c r="BS105" s="381"/>
      <c r="BT105" s="381"/>
      <c r="BU105" s="381"/>
      <c r="BV105" s="33"/>
      <c r="BW105" s="29"/>
      <c r="BX105" s="29"/>
      <c r="BY105" s="29"/>
      <c r="BZ105" s="29"/>
      <c r="CA105" s="385">
        <f>SUM(CA89:CA104)</f>
        <v>12174159.24</v>
      </c>
      <c r="CB105" s="385">
        <f t="shared" ref="CB105:CG105" si="363">SUM(CB89:CB104)</f>
        <v>1156545.1278000001</v>
      </c>
      <c r="CC105" s="385">
        <f t="shared" si="363"/>
        <v>12454164.899999999</v>
      </c>
      <c r="CD105" s="385">
        <f t="shared" si="363"/>
        <v>1183145.6654999999</v>
      </c>
      <c r="CE105" s="385">
        <f t="shared" si="363"/>
        <v>12740610.680000002</v>
      </c>
      <c r="CF105" s="385">
        <f t="shared" si="363"/>
        <v>1210358.0146000001</v>
      </c>
      <c r="CG105" s="385">
        <f t="shared" si="363"/>
        <v>13033644.729999999</v>
      </c>
      <c r="CH105" s="385">
        <f>SUM(CH89:CH104)</f>
        <v>1238196.2493499999</v>
      </c>
      <c r="CI105" s="385">
        <f t="shared" ref="CI105" si="364">SUM(CI89:CI104)</f>
        <v>13333418.560000002</v>
      </c>
      <c r="CJ105" s="385">
        <f t="shared" ref="CJ105" si="365">SUM(CJ89:CJ104)</f>
        <v>1266674.7632000002</v>
      </c>
      <c r="CK105" s="385">
        <f t="shared" ref="CK105" si="366">SUM(CK89:CK104)</f>
        <v>13640087.189999999</v>
      </c>
      <c r="CL105" s="385">
        <f t="shared" ref="CL105" si="367">SUM(CL89:CL104)</f>
        <v>1295808.28305</v>
      </c>
      <c r="CM105" s="385">
        <f t="shared" ref="CM105" si="368">SUM(CM89:CM104)</f>
        <v>13953809.189999999</v>
      </c>
      <c r="CN105" s="385">
        <f t="shared" ref="CN105" si="369">SUM(CN89:CN104)</f>
        <v>14274746.810000002</v>
      </c>
      <c r="CO105" s="381"/>
      <c r="CP105" s="381"/>
      <c r="CQ105" s="381"/>
      <c r="CR105" s="381"/>
      <c r="CS105" s="381"/>
      <c r="CT105" s="381"/>
      <c r="CU105" s="33"/>
      <c r="CV105" s="29"/>
      <c r="CW105" s="29"/>
      <c r="CX105" s="29"/>
      <c r="CY105" s="29"/>
      <c r="CZ105" s="386">
        <f>SUM(CZ89:CZ104)</f>
        <v>4237927.9700000007</v>
      </c>
      <c r="DA105" s="386">
        <f t="shared" ref="DA105:DG105" si="370">SUM(DA89:DA104)</f>
        <v>4343876.1600000011</v>
      </c>
      <c r="DB105" s="386">
        <f t="shared" si="370"/>
        <v>4452473.080000001</v>
      </c>
      <c r="DC105" s="386">
        <f t="shared" si="370"/>
        <v>4563784.91</v>
      </c>
      <c r="DD105" s="386">
        <f t="shared" si="370"/>
        <v>4677879.5100000007</v>
      </c>
      <c r="DE105" s="386">
        <f t="shared" si="370"/>
        <v>4794826.4900000012</v>
      </c>
      <c r="DF105" s="386">
        <f t="shared" si="370"/>
        <v>4914697.1600000011</v>
      </c>
      <c r="DG105" s="386">
        <f t="shared" si="370"/>
        <v>5037564.5900000008</v>
      </c>
      <c r="DH105" s="1"/>
      <c r="DI105" s="4"/>
      <c r="DJ105" s="382"/>
      <c r="DK105" s="1"/>
    </row>
    <row r="106" spans="2:116" s="399" customFormat="1" ht="19.5" thickBot="1" x14ac:dyDescent="0.35">
      <c r="B106" s="508" t="s">
        <v>361</v>
      </c>
      <c r="C106" s="508"/>
      <c r="D106" s="508"/>
      <c r="E106" s="508"/>
      <c r="F106" s="508"/>
      <c r="G106" s="508"/>
      <c r="H106" s="508"/>
      <c r="I106" s="508"/>
      <c r="J106" s="508"/>
      <c r="K106" s="508"/>
      <c r="L106" s="508"/>
      <c r="M106" s="387"/>
      <c r="N106" s="387"/>
      <c r="O106" s="387"/>
      <c r="P106" s="387"/>
      <c r="Q106" s="387"/>
      <c r="R106" s="387"/>
      <c r="S106" s="387"/>
      <c r="T106" s="387"/>
      <c r="U106" s="387"/>
      <c r="V106" s="387"/>
      <c r="W106" s="387"/>
      <c r="X106" s="387"/>
      <c r="Y106" s="387"/>
      <c r="Z106" s="387"/>
      <c r="AA106" s="387"/>
      <c r="AB106" s="387"/>
      <c r="AC106" s="387"/>
      <c r="AD106" s="387"/>
      <c r="AE106" s="387"/>
      <c r="AF106" s="387"/>
      <c r="AG106" s="388"/>
      <c r="AH106" s="388"/>
      <c r="AI106" s="388"/>
      <c r="AJ106" s="388"/>
      <c r="AK106" s="388"/>
      <c r="AL106" s="389"/>
      <c r="AM106" s="389"/>
      <c r="AN106" s="389"/>
      <c r="AO106" s="389"/>
      <c r="AP106" s="389"/>
      <c r="AQ106" s="388"/>
      <c r="AR106" s="388"/>
      <c r="AS106" s="388"/>
      <c r="AT106" s="388"/>
      <c r="AU106" s="388"/>
      <c r="AV106" s="388"/>
      <c r="AW106" s="388"/>
      <c r="AX106" s="388"/>
      <c r="AY106" s="388"/>
      <c r="AZ106" s="388"/>
      <c r="BA106" s="390"/>
      <c r="BB106" s="390"/>
      <c r="BC106" s="390"/>
      <c r="BD106" s="391"/>
      <c r="BE106" s="391"/>
      <c r="BF106" s="390"/>
      <c r="BG106" s="390"/>
      <c r="BH106" s="390"/>
      <c r="BI106" s="391"/>
      <c r="BJ106" s="391"/>
      <c r="BK106" s="390"/>
      <c r="BL106" s="390"/>
      <c r="BM106" s="390"/>
      <c r="BN106" s="391"/>
      <c r="BO106" s="391"/>
      <c r="BP106" s="392"/>
      <c r="BQ106" s="392"/>
      <c r="BR106" s="392"/>
      <c r="BS106" s="392"/>
      <c r="BT106" s="392"/>
      <c r="BU106" s="392"/>
      <c r="BV106" s="393"/>
      <c r="BW106" s="394"/>
      <c r="BX106" s="394"/>
      <c r="BY106" s="394"/>
      <c r="BZ106" s="394"/>
      <c r="CA106" s="395">
        <f>CA43+CA62+CA77+CA87+CA105</f>
        <v>141346272.64999998</v>
      </c>
      <c r="CB106" s="395">
        <f t="shared" ref="CB106:CJ106" si="371">CB43+CB62+CB77+CB87+CB105</f>
        <v>13427895.901750002</v>
      </c>
      <c r="CC106" s="395">
        <f t="shared" si="371"/>
        <v>144629907.75</v>
      </c>
      <c r="CD106" s="395">
        <f t="shared" si="371"/>
        <v>13739841.236250002</v>
      </c>
      <c r="CE106" s="395">
        <f t="shared" si="371"/>
        <v>147989883.24000001</v>
      </c>
      <c r="CF106" s="395">
        <f t="shared" si="371"/>
        <v>14059038.907799998</v>
      </c>
      <c r="CG106" s="395">
        <f t="shared" si="371"/>
        <v>151427975.38999996</v>
      </c>
      <c r="CH106" s="395">
        <f t="shared" si="371"/>
        <v>14385657.662050001</v>
      </c>
      <c r="CI106" s="395">
        <f t="shared" si="371"/>
        <v>154946001.77000001</v>
      </c>
      <c r="CJ106" s="395">
        <f t="shared" si="371"/>
        <v>14719870.16815</v>
      </c>
      <c r="CK106" s="395">
        <f t="shared" ref="CK106" si="372">CK43+CK62+CK77+CK87+CK105</f>
        <v>158545822.33000001</v>
      </c>
      <c r="CL106" s="395">
        <f t="shared" ref="CL106" si="373">CL43+CL62+CL77+CL87+CL105</f>
        <v>15061853.12135</v>
      </c>
      <c r="CM106" s="395">
        <f t="shared" ref="CM106" si="374">CM43+CM62+CM77+CM87+CM105</f>
        <v>162229340.34</v>
      </c>
      <c r="CN106" s="395">
        <f t="shared" ref="CN106" si="375">CN43+CN62+CN77+CN87+CN105</f>
        <v>165998503.34999999</v>
      </c>
      <c r="CO106" s="395"/>
      <c r="CP106" s="395"/>
      <c r="CQ106" s="395"/>
      <c r="CR106" s="395"/>
      <c r="CS106" s="395"/>
      <c r="CT106" s="395"/>
      <c r="CU106" s="395"/>
      <c r="CV106" s="395"/>
      <c r="CW106" s="395"/>
      <c r="CX106" s="395"/>
      <c r="CY106" s="395"/>
      <c r="CZ106" s="395">
        <f t="shared" ref="CZ106" si="376">CZ43+CZ62+CZ77+CZ87+CZ105</f>
        <v>60563302.079999998</v>
      </c>
      <c r="DA106" s="395">
        <f t="shared" ref="DA106" si="377">DA43+DA62+DA77+DA87+DA105</f>
        <v>62077384.659999996</v>
      </c>
      <c r="DB106" s="395">
        <f t="shared" ref="DB106" si="378">DB43+DB62+DB77+DB87+DB105</f>
        <v>63629319.29999999</v>
      </c>
      <c r="DC106" s="395">
        <f t="shared" ref="DC106" si="379">DC43+DC62+DC77+DC87+DC105</f>
        <v>65220052.310000002</v>
      </c>
      <c r="DD106" s="395">
        <f t="shared" ref="DD106" si="380">DD43+DD62+DD77+DD87+DD105</f>
        <v>66850553.599999987</v>
      </c>
      <c r="DE106" s="395">
        <f t="shared" ref="DE106" si="381">DE43+DE62+DE77+DE87+DE105</f>
        <v>68521817.439999998</v>
      </c>
      <c r="DF106" s="395">
        <f t="shared" ref="DF106" si="382">DF43+DF62+DF77+DF87+DF105</f>
        <v>70234862.86999999</v>
      </c>
      <c r="DG106" s="395">
        <f t="shared" ref="DG106" si="383">DG43+DG62+DG77+DG87+DG105</f>
        <v>71990734.439999998</v>
      </c>
      <c r="DH106" s="396"/>
      <c r="DI106" s="397"/>
      <c r="DJ106" s="398"/>
      <c r="DK106" s="396"/>
    </row>
    <row r="107" spans="2:116" ht="15.75" thickBot="1" x14ac:dyDescent="0.3">
      <c r="F107" s="5"/>
      <c r="G107" s="5"/>
      <c r="H107" s="5"/>
      <c r="I107" s="30"/>
      <c r="J107" s="5"/>
      <c r="K107" s="30"/>
      <c r="L107" s="5"/>
      <c r="M107" s="15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20"/>
      <c r="AH107" s="21"/>
      <c r="AI107" s="21"/>
      <c r="AJ107" s="21"/>
      <c r="AK107" s="21"/>
      <c r="AL107" s="22"/>
      <c r="AM107" s="22"/>
      <c r="AN107" s="22"/>
      <c r="AO107" s="22"/>
      <c r="AP107" s="22"/>
      <c r="AQ107" s="21"/>
      <c r="AR107" s="21"/>
      <c r="AS107" s="21"/>
      <c r="AT107" s="21"/>
      <c r="AU107" s="21"/>
      <c r="AV107" s="21"/>
      <c r="AW107" s="21"/>
      <c r="AX107" s="21"/>
      <c r="AY107" s="21"/>
      <c r="AZ107" s="23"/>
      <c r="BA107" s="5">
        <f>SUM(BA8:BA104)</f>
        <v>39739.871399999989</v>
      </c>
      <c r="BB107" s="5">
        <f t="shared" ref="BB107:BO107" si="384">SUM(BB8:BB104)</f>
        <v>88909.395525</v>
      </c>
      <c r="BC107" s="5">
        <f t="shared" si="384"/>
        <v>39941.997449999988</v>
      </c>
      <c r="BD107" s="5">
        <f t="shared" si="384"/>
        <v>7907.5490700000018</v>
      </c>
      <c r="BE107" s="5">
        <f t="shared" si="384"/>
        <v>1324.66238</v>
      </c>
      <c r="BF107" s="5">
        <f t="shared" si="384"/>
        <v>4768.2050578649996</v>
      </c>
      <c r="BG107" s="5">
        <f t="shared" si="384"/>
        <v>23898.707327025004</v>
      </c>
      <c r="BH107" s="5">
        <f t="shared" si="384"/>
        <v>4880.3859529349966</v>
      </c>
      <c r="BI107" s="5">
        <f t="shared" si="384"/>
        <v>7029.9466324000014</v>
      </c>
      <c r="BJ107" s="5">
        <f t="shared" si="384"/>
        <v>1174.0437875299997</v>
      </c>
      <c r="BK107" s="5">
        <f t="shared" si="384"/>
        <v>34971.666342135009</v>
      </c>
      <c r="BL107" s="5">
        <f t="shared" si="384"/>
        <v>65010.688197975003</v>
      </c>
      <c r="BM107" s="5">
        <f t="shared" si="384"/>
        <v>35061.611497064994</v>
      </c>
      <c r="BN107" s="5">
        <f t="shared" si="384"/>
        <v>877.60243760000003</v>
      </c>
      <c r="BO107" s="5">
        <f t="shared" si="384"/>
        <v>150.61859247000001</v>
      </c>
      <c r="BP107" s="32"/>
      <c r="BQ107" s="32"/>
      <c r="BR107" s="32"/>
      <c r="BS107" s="32"/>
      <c r="BT107" s="32"/>
      <c r="BU107" s="32"/>
      <c r="BV107" s="32"/>
      <c r="BW107" s="462" t="s">
        <v>332</v>
      </c>
      <c r="BX107" s="462"/>
      <c r="BY107" s="462"/>
      <c r="BZ107" s="462"/>
      <c r="CA107" s="462"/>
      <c r="CB107" s="462"/>
      <c r="CC107" s="462"/>
      <c r="CD107" s="462"/>
      <c r="CE107" s="462"/>
      <c r="CF107" s="462"/>
      <c r="CG107" s="462"/>
      <c r="CH107" s="194"/>
      <c r="CI107" s="32"/>
      <c r="CJ107" s="32"/>
      <c r="CK107" s="32"/>
      <c r="CL107" s="32"/>
      <c r="CM107" s="32"/>
      <c r="CN107" s="32"/>
      <c r="CO107" s="32"/>
      <c r="CP107" s="29"/>
      <c r="CQ107" s="29"/>
      <c r="CR107" s="29"/>
      <c r="CS107" s="29"/>
      <c r="CT107" s="29"/>
      <c r="CU107" s="29"/>
      <c r="CV107" s="29"/>
      <c r="CW107" s="29"/>
      <c r="CX107" s="29"/>
      <c r="CY107" s="4"/>
      <c r="CZ107" s="4"/>
      <c r="DI107" s="5"/>
    </row>
    <row r="108" spans="2:116" x14ac:dyDescent="0.25">
      <c r="BW108" s="463"/>
      <c r="BX108" s="463"/>
      <c r="BY108" s="463"/>
      <c r="BZ108" s="463"/>
      <c r="CA108" s="463"/>
      <c r="CB108" s="463"/>
      <c r="CC108" s="463"/>
      <c r="CD108" s="463"/>
      <c r="CE108" s="463"/>
      <c r="CF108" s="463"/>
      <c r="CG108" s="463"/>
      <c r="CH108" s="195"/>
    </row>
    <row r="109" spans="2:116" x14ac:dyDescent="0.25">
      <c r="J109" t="s">
        <v>233</v>
      </c>
      <c r="BW109" s="463"/>
      <c r="BX109" s="463"/>
      <c r="BY109" s="463"/>
      <c r="BZ109" s="463"/>
      <c r="CA109" s="463"/>
      <c r="CB109" s="463"/>
      <c r="CC109" s="463"/>
      <c r="CD109" s="463"/>
      <c r="CE109" s="463"/>
      <c r="CF109" s="463"/>
      <c r="CG109" s="463"/>
      <c r="CH109" s="195"/>
    </row>
  </sheetData>
  <sortState ref="B7:DM95">
    <sortCondition ref="D7:D95"/>
    <sortCondition ref="B7:B95"/>
  </sortState>
  <mergeCells count="43">
    <mergeCell ref="B105:L105"/>
    <mergeCell ref="B106:L106"/>
    <mergeCell ref="B7:L7"/>
    <mergeCell ref="B44:L44"/>
    <mergeCell ref="B63:L63"/>
    <mergeCell ref="B78:L78"/>
    <mergeCell ref="B88:L88"/>
    <mergeCell ref="B43:L43"/>
    <mergeCell ref="B62:L62"/>
    <mergeCell ref="B77:L77"/>
    <mergeCell ref="B87:L87"/>
    <mergeCell ref="AG3:AZ3"/>
    <mergeCell ref="BA3:BO3"/>
    <mergeCell ref="CO4:DG4"/>
    <mergeCell ref="BP3:DG3"/>
    <mergeCell ref="BP4:CN4"/>
    <mergeCell ref="AG4:AK4"/>
    <mergeCell ref="AL4:AP4"/>
    <mergeCell ref="AQ4:AU4"/>
    <mergeCell ref="AV4:AZ4"/>
    <mergeCell ref="BF4:BJ4"/>
    <mergeCell ref="BK4:BO4"/>
    <mergeCell ref="B6:L6"/>
    <mergeCell ref="K4:L4"/>
    <mergeCell ref="M4:Q4"/>
    <mergeCell ref="R4:V4"/>
    <mergeCell ref="B3:C5"/>
    <mergeCell ref="E3:E5"/>
    <mergeCell ref="F3:L3"/>
    <mergeCell ref="M3:AF3"/>
    <mergeCell ref="W4:AA4"/>
    <mergeCell ref="AB4:AF4"/>
    <mergeCell ref="F4:F5"/>
    <mergeCell ref="G4:G5"/>
    <mergeCell ref="H4:H5"/>
    <mergeCell ref="I4:J4"/>
    <mergeCell ref="BW107:CG109"/>
    <mergeCell ref="CD5:CD6"/>
    <mergeCell ref="CF5:CF6"/>
    <mergeCell ref="CL5:CL6"/>
    <mergeCell ref="CJ5:CJ6"/>
    <mergeCell ref="CH5:CH6"/>
    <mergeCell ref="CB5:CB6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view="pageBreakPreview" topLeftCell="A12" zoomScale="70" zoomScaleSheetLayoutView="70" workbookViewId="0">
      <selection activeCell="G12" sqref="G12"/>
    </sheetView>
  </sheetViews>
  <sheetFormatPr defaultRowHeight="15" x14ac:dyDescent="0.25"/>
  <cols>
    <col min="2" max="2" width="4.140625" customWidth="1"/>
    <col min="3" max="3" width="10.85546875" customWidth="1"/>
    <col min="4" max="4" width="15.28515625" customWidth="1"/>
    <col min="5" max="5" width="12.28515625" customWidth="1"/>
    <col min="6" max="6" width="15.28515625" customWidth="1"/>
    <col min="7" max="7" width="15.7109375" customWidth="1"/>
    <col min="8" max="8" width="18.7109375" customWidth="1"/>
    <col min="9" max="9" width="14.42578125" customWidth="1"/>
    <col min="10" max="10" width="13" customWidth="1"/>
    <col min="11" max="11" width="19" customWidth="1"/>
  </cols>
  <sheetData>
    <row r="1" spans="1:11" ht="15.75" thickBot="1" x14ac:dyDescent="0.3"/>
    <row r="2" spans="1:11" x14ac:dyDescent="0.25">
      <c r="B2" s="518" t="s">
        <v>26</v>
      </c>
      <c r="C2" s="519"/>
      <c r="D2" s="418" t="s">
        <v>0</v>
      </c>
      <c r="E2" s="430" t="s">
        <v>237</v>
      </c>
      <c r="F2" s="419" t="s">
        <v>238</v>
      </c>
      <c r="G2" s="430" t="s">
        <v>239</v>
      </c>
      <c r="H2" s="418" t="s">
        <v>240</v>
      </c>
      <c r="I2" s="430" t="s">
        <v>241</v>
      </c>
      <c r="J2" s="420" t="s">
        <v>242</v>
      </c>
      <c r="K2" s="430" t="s">
        <v>243</v>
      </c>
    </row>
    <row r="3" spans="1:11" x14ac:dyDescent="0.25">
      <c r="B3" s="520"/>
      <c r="C3" s="521"/>
      <c r="D3" s="522"/>
      <c r="E3" s="431"/>
      <c r="F3" s="523"/>
      <c r="G3" s="431"/>
      <c r="H3" s="522"/>
      <c r="I3" s="431"/>
      <c r="J3" s="432"/>
      <c r="K3" s="431"/>
    </row>
    <row r="4" spans="1:11" x14ac:dyDescent="0.25">
      <c r="B4" s="520"/>
      <c r="C4" s="521"/>
      <c r="D4" s="522"/>
      <c r="E4" s="431"/>
      <c r="F4" s="523"/>
      <c r="G4" s="431"/>
      <c r="H4" s="522"/>
      <c r="I4" s="431"/>
      <c r="J4" s="432"/>
      <c r="K4" s="431"/>
    </row>
    <row r="5" spans="1:11" ht="16.5" thickBot="1" x14ac:dyDescent="0.3">
      <c r="B5" s="524" t="s">
        <v>362</v>
      </c>
      <c r="C5" s="525"/>
      <c r="D5" s="525"/>
      <c r="E5" s="525"/>
      <c r="F5" s="525"/>
      <c r="G5" s="525"/>
      <c r="H5" s="265"/>
      <c r="I5" s="265"/>
      <c r="J5" s="265"/>
      <c r="K5" s="266"/>
    </row>
    <row r="6" spans="1:11" ht="30" x14ac:dyDescent="0.25">
      <c r="A6" s="46"/>
      <c r="B6" s="52">
        <v>2</v>
      </c>
      <c r="C6" s="36" t="s">
        <v>45</v>
      </c>
      <c r="D6" s="40" t="s">
        <v>186</v>
      </c>
      <c r="E6" s="40" t="s">
        <v>250</v>
      </c>
      <c r="F6" s="37" t="s">
        <v>251</v>
      </c>
      <c r="G6" s="37" t="s">
        <v>252</v>
      </c>
      <c r="H6" s="40" t="s">
        <v>249</v>
      </c>
      <c r="I6" s="36" t="s">
        <v>253</v>
      </c>
      <c r="J6" s="39" t="s">
        <v>249</v>
      </c>
      <c r="K6" s="53" t="s">
        <v>249</v>
      </c>
    </row>
    <row r="7" spans="1:11" ht="30" x14ac:dyDescent="0.25">
      <c r="A7" s="52"/>
      <c r="B7" s="52">
        <v>7</v>
      </c>
      <c r="C7" s="36" t="s">
        <v>10</v>
      </c>
      <c r="D7" s="36" t="s">
        <v>131</v>
      </c>
      <c r="E7" s="36" t="s">
        <v>250</v>
      </c>
      <c r="F7" s="37" t="s">
        <v>168</v>
      </c>
      <c r="G7" s="37" t="s">
        <v>245</v>
      </c>
      <c r="H7" s="38" t="s">
        <v>263</v>
      </c>
      <c r="I7" s="36" t="s">
        <v>264</v>
      </c>
      <c r="J7" s="39" t="s">
        <v>249</v>
      </c>
      <c r="K7" s="53" t="s">
        <v>249</v>
      </c>
    </row>
    <row r="8" spans="1:11" ht="45" x14ac:dyDescent="0.25">
      <c r="A8" s="52"/>
      <c r="B8" s="52">
        <v>9</v>
      </c>
      <c r="C8" s="36" t="s">
        <v>53</v>
      </c>
      <c r="D8" s="36" t="s">
        <v>11</v>
      </c>
      <c r="E8" s="36" t="s">
        <v>250</v>
      </c>
      <c r="F8" s="37" t="s">
        <v>216</v>
      </c>
      <c r="G8" s="37" t="s">
        <v>245</v>
      </c>
      <c r="H8" s="38" t="s">
        <v>267</v>
      </c>
      <c r="I8" s="36" t="s">
        <v>268</v>
      </c>
      <c r="J8" s="39" t="s">
        <v>249</v>
      </c>
      <c r="K8" s="53" t="s">
        <v>249</v>
      </c>
    </row>
    <row r="9" spans="1:11" x14ac:dyDescent="0.25">
      <c r="A9" s="52"/>
      <c r="B9" s="52">
        <v>10</v>
      </c>
      <c r="C9" s="36" t="s">
        <v>52</v>
      </c>
      <c r="D9" s="36" t="s">
        <v>11</v>
      </c>
      <c r="E9" s="36" t="s">
        <v>250</v>
      </c>
      <c r="F9" s="37" t="s">
        <v>173</v>
      </c>
      <c r="G9" s="37" t="s">
        <v>245</v>
      </c>
      <c r="H9" s="38" t="s">
        <v>269</v>
      </c>
      <c r="I9" s="36" t="s">
        <v>268</v>
      </c>
      <c r="J9" s="39" t="s">
        <v>249</v>
      </c>
      <c r="K9" s="53" t="s">
        <v>249</v>
      </c>
    </row>
    <row r="10" spans="1:11" ht="45" x14ac:dyDescent="0.25">
      <c r="A10" s="52"/>
      <c r="B10" s="52">
        <v>12</v>
      </c>
      <c r="C10" s="36" t="s">
        <v>55</v>
      </c>
      <c r="D10" s="40" t="s">
        <v>189</v>
      </c>
      <c r="E10" s="40" t="s">
        <v>250</v>
      </c>
      <c r="F10" s="37" t="s">
        <v>173</v>
      </c>
      <c r="G10" s="37" t="s">
        <v>245</v>
      </c>
      <c r="H10" s="38" t="s">
        <v>269</v>
      </c>
      <c r="I10" s="36" t="s">
        <v>268</v>
      </c>
      <c r="J10" s="39" t="s">
        <v>249</v>
      </c>
      <c r="K10" s="53" t="s">
        <v>249</v>
      </c>
    </row>
    <row r="11" spans="1:11" x14ac:dyDescent="0.25">
      <c r="A11" s="52"/>
      <c r="B11" s="52">
        <v>22</v>
      </c>
      <c r="C11" s="36" t="s">
        <v>65</v>
      </c>
      <c r="D11" s="36" t="s">
        <v>11</v>
      </c>
      <c r="E11" s="36" t="s">
        <v>250</v>
      </c>
      <c r="F11" s="37" t="s">
        <v>251</v>
      </c>
      <c r="G11" s="37" t="s">
        <v>252</v>
      </c>
      <c r="H11" s="38" t="s">
        <v>249</v>
      </c>
      <c r="I11" s="36" t="s">
        <v>253</v>
      </c>
      <c r="J11" s="39" t="s">
        <v>249</v>
      </c>
      <c r="K11" s="53" t="s">
        <v>249</v>
      </c>
    </row>
    <row r="12" spans="1:11" ht="195" x14ac:dyDescent="0.25">
      <c r="A12" s="52"/>
      <c r="B12" s="52">
        <v>23</v>
      </c>
      <c r="C12" s="36" t="s">
        <v>66</v>
      </c>
      <c r="D12" s="40" t="s">
        <v>194</v>
      </c>
      <c r="E12" s="40" t="s">
        <v>250</v>
      </c>
      <c r="F12" s="37" t="s">
        <v>217</v>
      </c>
      <c r="G12" s="37" t="s">
        <v>245</v>
      </c>
      <c r="H12" s="40" t="s">
        <v>283</v>
      </c>
      <c r="I12" s="36" t="s">
        <v>262</v>
      </c>
      <c r="J12" s="36" t="s">
        <v>248</v>
      </c>
      <c r="K12" s="212" t="s">
        <v>334</v>
      </c>
    </row>
    <row r="13" spans="1:11" x14ac:dyDescent="0.25">
      <c r="A13" s="52"/>
      <c r="B13" s="52">
        <v>24</v>
      </c>
      <c r="C13" s="36" t="s">
        <v>67</v>
      </c>
      <c r="D13" s="36" t="s">
        <v>138</v>
      </c>
      <c r="E13" s="36" t="s">
        <v>250</v>
      </c>
      <c r="F13" s="37" t="s">
        <v>284</v>
      </c>
      <c r="G13" s="37" t="s">
        <v>252</v>
      </c>
      <c r="H13" s="38" t="s">
        <v>249</v>
      </c>
      <c r="I13" s="36" t="s">
        <v>268</v>
      </c>
      <c r="J13" s="39" t="s">
        <v>249</v>
      </c>
      <c r="K13" s="53" t="s">
        <v>249</v>
      </c>
    </row>
    <row r="14" spans="1:11" ht="45" x14ac:dyDescent="0.25">
      <c r="A14" s="52"/>
      <c r="B14" s="52">
        <v>25</v>
      </c>
      <c r="C14" s="36" t="s">
        <v>78</v>
      </c>
      <c r="D14" s="36" t="s">
        <v>11</v>
      </c>
      <c r="E14" s="36" t="s">
        <v>250</v>
      </c>
      <c r="F14" s="37" t="s">
        <v>216</v>
      </c>
      <c r="G14" s="37" t="s">
        <v>245</v>
      </c>
      <c r="H14" s="38" t="s">
        <v>285</v>
      </c>
      <c r="I14" s="36" t="s">
        <v>268</v>
      </c>
      <c r="J14" s="39" t="s">
        <v>249</v>
      </c>
      <c r="K14" s="53" t="s">
        <v>249</v>
      </c>
    </row>
    <row r="15" spans="1:11" ht="30" x14ac:dyDescent="0.25">
      <c r="A15" s="52"/>
      <c r="B15" s="52">
        <v>26</v>
      </c>
      <c r="C15" s="36" t="s">
        <v>130</v>
      </c>
      <c r="D15" s="36" t="s">
        <v>139</v>
      </c>
      <c r="E15" s="36" t="s">
        <v>250</v>
      </c>
      <c r="F15" s="37" t="s">
        <v>169</v>
      </c>
      <c r="G15" s="37" t="s">
        <v>245</v>
      </c>
      <c r="H15" s="38" t="s">
        <v>263</v>
      </c>
      <c r="I15" s="36" t="s">
        <v>257</v>
      </c>
      <c r="J15" s="39" t="s">
        <v>248</v>
      </c>
      <c r="K15" s="53" t="s">
        <v>249</v>
      </c>
    </row>
    <row r="16" spans="1:11" ht="30" x14ac:dyDescent="0.25">
      <c r="A16" s="52"/>
      <c r="B16" s="52">
        <v>28</v>
      </c>
      <c r="C16" s="36" t="s">
        <v>68</v>
      </c>
      <c r="D16" s="36" t="s">
        <v>11</v>
      </c>
      <c r="E16" s="36" t="s">
        <v>250</v>
      </c>
      <c r="F16" s="37" t="s">
        <v>170</v>
      </c>
      <c r="G16" s="37" t="s">
        <v>245</v>
      </c>
      <c r="H16" s="38" t="s">
        <v>263</v>
      </c>
      <c r="I16" s="36" t="s">
        <v>287</v>
      </c>
      <c r="J16" s="39" t="s">
        <v>249</v>
      </c>
      <c r="K16" s="53" t="s">
        <v>249</v>
      </c>
    </row>
    <row r="17" spans="1:11" ht="195" x14ac:dyDescent="0.25">
      <c r="A17" s="52"/>
      <c r="B17" s="52">
        <v>30</v>
      </c>
      <c r="C17" s="36" t="s">
        <v>70</v>
      </c>
      <c r="D17" s="36" t="s">
        <v>142</v>
      </c>
      <c r="E17" s="36" t="s">
        <v>250</v>
      </c>
      <c r="F17" s="37" t="s">
        <v>171</v>
      </c>
      <c r="G17" s="37" t="s">
        <v>245</v>
      </c>
      <c r="H17" s="38" t="s">
        <v>273</v>
      </c>
      <c r="I17" s="36" t="s">
        <v>290</v>
      </c>
      <c r="J17" s="39" t="s">
        <v>248</v>
      </c>
      <c r="K17" s="212" t="s">
        <v>334</v>
      </c>
    </row>
    <row r="18" spans="1:11" ht="60" x14ac:dyDescent="0.25">
      <c r="A18" s="52"/>
      <c r="B18" s="52">
        <v>31</v>
      </c>
      <c r="C18" s="36" t="s">
        <v>72</v>
      </c>
      <c r="D18" s="36" t="s">
        <v>143</v>
      </c>
      <c r="E18" s="36" t="s">
        <v>250</v>
      </c>
      <c r="F18" s="37" t="s">
        <v>172</v>
      </c>
      <c r="G18" s="37" t="s">
        <v>245</v>
      </c>
      <c r="H18" s="38" t="s">
        <v>291</v>
      </c>
      <c r="I18" s="36" t="s">
        <v>262</v>
      </c>
      <c r="J18" s="39" t="s">
        <v>248</v>
      </c>
      <c r="K18" s="56" t="s">
        <v>292</v>
      </c>
    </row>
    <row r="19" spans="1:11" ht="60" x14ac:dyDescent="0.25">
      <c r="A19" s="52"/>
      <c r="B19" s="52">
        <v>32</v>
      </c>
      <c r="C19" s="36" t="s">
        <v>73</v>
      </c>
      <c r="D19" s="36" t="s">
        <v>144</v>
      </c>
      <c r="E19" s="36" t="s">
        <v>250</v>
      </c>
      <c r="F19" s="37" t="s">
        <v>170</v>
      </c>
      <c r="G19" s="37" t="s">
        <v>245</v>
      </c>
      <c r="H19" s="38" t="s">
        <v>263</v>
      </c>
      <c r="I19" s="36" t="s">
        <v>287</v>
      </c>
      <c r="J19" s="39" t="s">
        <v>249</v>
      </c>
      <c r="K19" s="56" t="s">
        <v>292</v>
      </c>
    </row>
    <row r="20" spans="1:11" ht="45" x14ac:dyDescent="0.25">
      <c r="A20" s="52"/>
      <c r="B20" s="52">
        <v>34</v>
      </c>
      <c r="C20" s="36" t="s">
        <v>77</v>
      </c>
      <c r="D20" s="40" t="s">
        <v>195</v>
      </c>
      <c r="E20" s="40" t="s">
        <v>250</v>
      </c>
      <c r="F20" s="37" t="s">
        <v>173</v>
      </c>
      <c r="G20" s="37" t="s">
        <v>245</v>
      </c>
      <c r="H20" s="38" t="s">
        <v>269</v>
      </c>
      <c r="I20" s="36" t="s">
        <v>268</v>
      </c>
      <c r="J20" s="39" t="s">
        <v>249</v>
      </c>
      <c r="K20" s="53" t="s">
        <v>249</v>
      </c>
    </row>
    <row r="21" spans="1:11" ht="30" x14ac:dyDescent="0.25">
      <c r="A21" s="52"/>
      <c r="B21" s="52">
        <v>43</v>
      </c>
      <c r="C21" s="36" t="s">
        <v>85</v>
      </c>
      <c r="D21" s="40" t="s">
        <v>148</v>
      </c>
      <c r="E21" s="40" t="s">
        <v>250</v>
      </c>
      <c r="F21" s="37" t="s">
        <v>173</v>
      </c>
      <c r="G21" s="37" t="s">
        <v>245</v>
      </c>
      <c r="H21" s="38" t="s">
        <v>269</v>
      </c>
      <c r="I21" s="36" t="s">
        <v>268</v>
      </c>
      <c r="J21" s="39" t="s">
        <v>249</v>
      </c>
      <c r="K21" s="53" t="s">
        <v>249</v>
      </c>
    </row>
    <row r="22" spans="1:11" ht="30" x14ac:dyDescent="0.25">
      <c r="A22" s="52"/>
      <c r="B22" s="52">
        <v>47</v>
      </c>
      <c r="C22" s="36" t="s">
        <v>92</v>
      </c>
      <c r="D22" s="40" t="s">
        <v>11</v>
      </c>
      <c r="E22" s="40" t="s">
        <v>250</v>
      </c>
      <c r="F22" s="37" t="s">
        <v>170</v>
      </c>
      <c r="G22" s="37" t="s">
        <v>245</v>
      </c>
      <c r="H22" s="38" t="s">
        <v>263</v>
      </c>
      <c r="I22" s="36" t="s">
        <v>287</v>
      </c>
      <c r="J22" s="39" t="s">
        <v>249</v>
      </c>
      <c r="K22" s="53" t="s">
        <v>249</v>
      </c>
    </row>
    <row r="23" spans="1:11" x14ac:dyDescent="0.25">
      <c r="A23" s="52"/>
      <c r="B23" s="52">
        <v>50</v>
      </c>
      <c r="C23" s="36" t="s">
        <v>95</v>
      </c>
      <c r="D23" s="36" t="s">
        <v>150</v>
      </c>
      <c r="E23" s="36" t="s">
        <v>250</v>
      </c>
      <c r="F23" s="37" t="s">
        <v>301</v>
      </c>
      <c r="G23" s="37" t="s">
        <v>252</v>
      </c>
      <c r="H23" s="38" t="s">
        <v>249</v>
      </c>
      <c r="I23" s="36" t="s">
        <v>253</v>
      </c>
      <c r="J23" s="39" t="s">
        <v>249</v>
      </c>
      <c r="K23" s="53" t="s">
        <v>249</v>
      </c>
    </row>
    <row r="24" spans="1:11" x14ac:dyDescent="0.25">
      <c r="A24" s="52"/>
      <c r="B24" s="52">
        <v>54</v>
      </c>
      <c r="C24" s="36" t="s">
        <v>104</v>
      </c>
      <c r="D24" s="36" t="s">
        <v>202</v>
      </c>
      <c r="E24" s="36" t="s">
        <v>250</v>
      </c>
      <c r="F24" s="37" t="s">
        <v>304</v>
      </c>
      <c r="G24" s="37" t="s">
        <v>252</v>
      </c>
      <c r="H24" s="38" t="s">
        <v>249</v>
      </c>
      <c r="I24" s="36" t="s">
        <v>253</v>
      </c>
      <c r="J24" s="39" t="s">
        <v>249</v>
      </c>
      <c r="K24" s="53" t="s">
        <v>249</v>
      </c>
    </row>
    <row r="25" spans="1:11" ht="30" x14ac:dyDescent="0.25">
      <c r="A25" s="52"/>
      <c r="B25" s="52">
        <v>55</v>
      </c>
      <c r="C25" s="36" t="s">
        <v>96</v>
      </c>
      <c r="D25" s="36" t="s">
        <v>11</v>
      </c>
      <c r="E25" s="36" t="s">
        <v>250</v>
      </c>
      <c r="F25" s="37" t="s">
        <v>170</v>
      </c>
      <c r="G25" s="37" t="s">
        <v>245</v>
      </c>
      <c r="H25" s="38" t="s">
        <v>263</v>
      </c>
      <c r="I25" s="36" t="s">
        <v>287</v>
      </c>
      <c r="J25" s="39" t="s">
        <v>249</v>
      </c>
      <c r="K25" s="53" t="s">
        <v>249</v>
      </c>
    </row>
    <row r="26" spans="1:11" ht="30" x14ac:dyDescent="0.25">
      <c r="A26" s="52"/>
      <c r="B26" s="52">
        <v>57</v>
      </c>
      <c r="C26" s="36" t="s">
        <v>103</v>
      </c>
      <c r="D26" s="40" t="s">
        <v>156</v>
      </c>
      <c r="E26" s="40" t="s">
        <v>250</v>
      </c>
      <c r="F26" s="37" t="s">
        <v>170</v>
      </c>
      <c r="G26" s="37" t="s">
        <v>245</v>
      </c>
      <c r="H26" s="38" t="s">
        <v>263</v>
      </c>
      <c r="I26" s="36" t="s">
        <v>287</v>
      </c>
      <c r="J26" s="39" t="s">
        <v>249</v>
      </c>
      <c r="K26" s="53" t="s">
        <v>249</v>
      </c>
    </row>
    <row r="27" spans="1:11" x14ac:dyDescent="0.25">
      <c r="A27" s="52"/>
      <c r="B27" s="52">
        <v>61</v>
      </c>
      <c r="C27" s="36" t="s">
        <v>98</v>
      </c>
      <c r="D27" s="36" t="s">
        <v>150</v>
      </c>
      <c r="E27" s="36" t="s">
        <v>250</v>
      </c>
      <c r="F27" s="37" t="s">
        <v>301</v>
      </c>
      <c r="G27" s="37" t="s">
        <v>252</v>
      </c>
      <c r="H27" s="40" t="s">
        <v>249</v>
      </c>
      <c r="I27" s="36" t="s">
        <v>253</v>
      </c>
      <c r="J27" s="39" t="s">
        <v>249</v>
      </c>
      <c r="K27" s="53" t="s">
        <v>249</v>
      </c>
    </row>
    <row r="28" spans="1:11" x14ac:dyDescent="0.25">
      <c r="A28" s="52"/>
      <c r="B28" s="52">
        <v>62</v>
      </c>
      <c r="C28" s="36" t="s">
        <v>97</v>
      </c>
      <c r="D28" s="36" t="s">
        <v>205</v>
      </c>
      <c r="E28" s="36" t="s">
        <v>250</v>
      </c>
      <c r="F28" s="37" t="s">
        <v>306</v>
      </c>
      <c r="G28" s="37" t="s">
        <v>252</v>
      </c>
      <c r="H28" s="40" t="s">
        <v>249</v>
      </c>
      <c r="I28" s="36" t="s">
        <v>253</v>
      </c>
      <c r="J28" s="40" t="s">
        <v>249</v>
      </c>
      <c r="K28" s="53" t="s">
        <v>249</v>
      </c>
    </row>
    <row r="29" spans="1:11" x14ac:dyDescent="0.25">
      <c r="A29" s="52"/>
      <c r="B29" s="52">
        <v>65</v>
      </c>
      <c r="C29" s="36" t="s">
        <v>100</v>
      </c>
      <c r="D29" s="36" t="s">
        <v>159</v>
      </c>
      <c r="E29" s="36" t="s">
        <v>250</v>
      </c>
      <c r="F29" s="37" t="s">
        <v>309</v>
      </c>
      <c r="G29" s="37" t="s">
        <v>252</v>
      </c>
      <c r="H29" s="38" t="s">
        <v>249</v>
      </c>
      <c r="I29" s="36" t="s">
        <v>253</v>
      </c>
      <c r="J29" s="39" t="s">
        <v>249</v>
      </c>
      <c r="K29" s="53" t="s">
        <v>249</v>
      </c>
    </row>
    <row r="30" spans="1:11" x14ac:dyDescent="0.25">
      <c r="A30" s="52"/>
      <c r="B30" s="52">
        <v>66</v>
      </c>
      <c r="C30" s="36" t="s">
        <v>109</v>
      </c>
      <c r="D30" s="36" t="s">
        <v>161</v>
      </c>
      <c r="E30" s="36" t="s">
        <v>250</v>
      </c>
      <c r="F30" s="37" t="s">
        <v>175</v>
      </c>
      <c r="G30" s="37" t="s">
        <v>245</v>
      </c>
      <c r="H30" s="38" t="s">
        <v>269</v>
      </c>
      <c r="I30" s="36" t="s">
        <v>268</v>
      </c>
      <c r="J30" s="38" t="s">
        <v>249</v>
      </c>
      <c r="K30" s="53" t="s">
        <v>249</v>
      </c>
    </row>
    <row r="31" spans="1:11" ht="30" x14ac:dyDescent="0.25">
      <c r="A31" s="52"/>
      <c r="B31" s="52">
        <v>67</v>
      </c>
      <c r="C31" s="36" t="s">
        <v>110</v>
      </c>
      <c r="D31" s="36" t="s">
        <v>11</v>
      </c>
      <c r="E31" s="36" t="s">
        <v>250</v>
      </c>
      <c r="F31" s="37" t="s">
        <v>170</v>
      </c>
      <c r="G31" s="37" t="s">
        <v>245</v>
      </c>
      <c r="H31" s="38" t="s">
        <v>263</v>
      </c>
      <c r="I31" s="36" t="s">
        <v>287</v>
      </c>
      <c r="J31" s="39" t="s">
        <v>249</v>
      </c>
      <c r="K31" s="53" t="s">
        <v>249</v>
      </c>
    </row>
    <row r="32" spans="1:11" ht="30" x14ac:dyDescent="0.25">
      <c r="A32" s="52"/>
      <c r="B32" s="52">
        <v>68</v>
      </c>
      <c r="C32" s="36" t="s">
        <v>111</v>
      </c>
      <c r="D32" s="40" t="s">
        <v>148</v>
      </c>
      <c r="E32" s="40" t="s">
        <v>250</v>
      </c>
      <c r="F32" s="37" t="s">
        <v>310</v>
      </c>
      <c r="G32" s="37" t="s">
        <v>252</v>
      </c>
      <c r="H32" s="40" t="s">
        <v>249</v>
      </c>
      <c r="I32" s="36" t="s">
        <v>253</v>
      </c>
      <c r="J32" s="39" t="s">
        <v>249</v>
      </c>
      <c r="K32" s="53" t="s">
        <v>249</v>
      </c>
    </row>
    <row r="33" spans="1:11" x14ac:dyDescent="0.25">
      <c r="A33" s="52"/>
      <c r="B33" s="52">
        <v>74</v>
      </c>
      <c r="C33" s="36" t="s">
        <v>5</v>
      </c>
      <c r="D33" s="36" t="s">
        <v>165</v>
      </c>
      <c r="E33" s="36" t="s">
        <v>250</v>
      </c>
      <c r="F33" s="37" t="s">
        <v>316</v>
      </c>
      <c r="G33" s="37" t="s">
        <v>252</v>
      </c>
      <c r="H33" s="38" t="s">
        <v>249</v>
      </c>
      <c r="I33" s="36" t="s">
        <v>253</v>
      </c>
      <c r="J33" s="39" t="s">
        <v>249</v>
      </c>
      <c r="K33" s="53" t="s">
        <v>249</v>
      </c>
    </row>
    <row r="34" spans="1:11" x14ac:dyDescent="0.25">
      <c r="A34" s="52"/>
      <c r="B34" s="52">
        <v>75</v>
      </c>
      <c r="C34" s="36" t="s">
        <v>115</v>
      </c>
      <c r="D34" s="36" t="s">
        <v>206</v>
      </c>
      <c r="E34" s="36" t="s">
        <v>250</v>
      </c>
      <c r="F34" s="37" t="s">
        <v>317</v>
      </c>
      <c r="G34" s="37" t="s">
        <v>252</v>
      </c>
      <c r="H34" s="38" t="s">
        <v>249</v>
      </c>
      <c r="I34" s="36" t="s">
        <v>298</v>
      </c>
      <c r="J34" s="39" t="s">
        <v>249</v>
      </c>
      <c r="K34" s="53" t="s">
        <v>249</v>
      </c>
    </row>
    <row r="35" spans="1:11" ht="30" x14ac:dyDescent="0.25">
      <c r="A35" s="52"/>
      <c r="B35" s="52">
        <v>76</v>
      </c>
      <c r="C35" s="36" t="s">
        <v>113</v>
      </c>
      <c r="D35" s="36" t="s">
        <v>11</v>
      </c>
      <c r="E35" s="36" t="s">
        <v>250</v>
      </c>
      <c r="F35" s="37" t="s">
        <v>170</v>
      </c>
      <c r="G35" s="37" t="s">
        <v>245</v>
      </c>
      <c r="H35" s="38" t="s">
        <v>263</v>
      </c>
      <c r="I35" s="36" t="s">
        <v>287</v>
      </c>
      <c r="J35" s="39" t="s">
        <v>249</v>
      </c>
      <c r="K35" s="53" t="s">
        <v>249</v>
      </c>
    </row>
    <row r="36" spans="1:11" ht="60" x14ac:dyDescent="0.25">
      <c r="A36" s="52"/>
      <c r="B36" s="52">
        <v>77</v>
      </c>
      <c r="C36" s="36" t="s">
        <v>114</v>
      </c>
      <c r="D36" s="36" t="s">
        <v>207</v>
      </c>
      <c r="E36" s="36" t="s">
        <v>250</v>
      </c>
      <c r="F36" s="37" t="s">
        <v>318</v>
      </c>
      <c r="G36" s="37" t="s">
        <v>252</v>
      </c>
      <c r="H36" s="38" t="s">
        <v>249</v>
      </c>
      <c r="I36" s="40" t="s">
        <v>319</v>
      </c>
      <c r="J36" s="39" t="s">
        <v>249</v>
      </c>
      <c r="K36" s="56" t="s">
        <v>292</v>
      </c>
    </row>
    <row r="37" spans="1:11" ht="60" x14ac:dyDescent="0.25">
      <c r="A37" s="52"/>
      <c r="B37" s="52">
        <v>82</v>
      </c>
      <c r="C37" s="36" t="s">
        <v>120</v>
      </c>
      <c r="D37" s="40" t="s">
        <v>212</v>
      </c>
      <c r="E37" s="40" t="s">
        <v>250</v>
      </c>
      <c r="F37" s="37" t="s">
        <v>324</v>
      </c>
      <c r="G37" s="37" t="s">
        <v>252</v>
      </c>
      <c r="H37" s="38" t="s">
        <v>249</v>
      </c>
      <c r="I37" s="36" t="s">
        <v>253</v>
      </c>
      <c r="J37" s="39" t="s">
        <v>249</v>
      </c>
      <c r="K37" s="56" t="s">
        <v>292</v>
      </c>
    </row>
    <row r="38" spans="1:11" ht="60" x14ac:dyDescent="0.25">
      <c r="A38" s="52"/>
      <c r="B38" s="52">
        <v>83</v>
      </c>
      <c r="C38" s="36" t="s">
        <v>121</v>
      </c>
      <c r="D38" s="40" t="s">
        <v>229</v>
      </c>
      <c r="E38" s="40" t="s">
        <v>250</v>
      </c>
      <c r="F38" s="37" t="s">
        <v>325</v>
      </c>
      <c r="G38" s="37" t="s">
        <v>252</v>
      </c>
      <c r="H38" s="40" t="s">
        <v>249</v>
      </c>
      <c r="I38" s="36" t="s">
        <v>253</v>
      </c>
      <c r="J38" s="39" t="s">
        <v>249</v>
      </c>
      <c r="K38" s="56" t="s">
        <v>292</v>
      </c>
    </row>
    <row r="39" spans="1:11" ht="30" x14ac:dyDescent="0.25">
      <c r="A39" s="52"/>
      <c r="B39" s="52">
        <v>84</v>
      </c>
      <c r="C39" s="36" t="s">
        <v>122</v>
      </c>
      <c r="D39" s="36" t="s">
        <v>213</v>
      </c>
      <c r="E39" s="36" t="s">
        <v>250</v>
      </c>
      <c r="F39" s="37" t="s">
        <v>169</v>
      </c>
      <c r="G39" s="37" t="s">
        <v>245</v>
      </c>
      <c r="H39" s="38" t="s">
        <v>263</v>
      </c>
      <c r="I39" s="36" t="s">
        <v>257</v>
      </c>
      <c r="J39" s="39" t="s">
        <v>248</v>
      </c>
      <c r="K39" s="53" t="s">
        <v>249</v>
      </c>
    </row>
    <row r="40" spans="1:11" ht="60" x14ac:dyDescent="0.25">
      <c r="A40" s="52"/>
      <c r="B40" s="52">
        <v>85</v>
      </c>
      <c r="C40" s="36" t="s">
        <v>123</v>
      </c>
      <c r="D40" s="36" t="s">
        <v>214</v>
      </c>
      <c r="E40" s="36" t="s">
        <v>250</v>
      </c>
      <c r="F40" s="37" t="s">
        <v>326</v>
      </c>
      <c r="G40" s="37" t="s">
        <v>252</v>
      </c>
      <c r="H40" s="38" t="s">
        <v>249</v>
      </c>
      <c r="I40" s="36" t="s">
        <v>253</v>
      </c>
      <c r="J40" s="39" t="s">
        <v>249</v>
      </c>
      <c r="K40" s="56" t="s">
        <v>292</v>
      </c>
    </row>
    <row r="41" spans="1:11" ht="15.75" x14ac:dyDescent="0.25">
      <c r="A41" s="52"/>
      <c r="B41" s="526" t="s">
        <v>364</v>
      </c>
      <c r="C41" s="527"/>
      <c r="D41" s="527"/>
      <c r="E41" s="527"/>
      <c r="F41" s="527"/>
      <c r="G41" s="528"/>
      <c r="H41" s="38"/>
      <c r="I41" s="36"/>
      <c r="J41" s="39"/>
      <c r="K41" s="56"/>
    </row>
    <row r="42" spans="1:11" x14ac:dyDescent="0.25">
      <c r="A42" s="52"/>
      <c r="B42" s="52">
        <v>8</v>
      </c>
      <c r="C42" s="36" t="s">
        <v>51</v>
      </c>
      <c r="D42" s="36" t="s">
        <v>2</v>
      </c>
      <c r="E42" s="36" t="s">
        <v>265</v>
      </c>
      <c r="F42" s="37" t="s">
        <v>266</v>
      </c>
      <c r="G42" s="37" t="s">
        <v>252</v>
      </c>
      <c r="H42" s="38" t="s">
        <v>249</v>
      </c>
      <c r="I42" s="36" t="s">
        <v>253</v>
      </c>
      <c r="J42" s="39" t="s">
        <v>249</v>
      </c>
      <c r="K42" s="53" t="s">
        <v>249</v>
      </c>
    </row>
    <row r="43" spans="1:11" x14ac:dyDescent="0.25">
      <c r="A43" s="52"/>
      <c r="B43" s="52">
        <v>13</v>
      </c>
      <c r="C43" s="36" t="s">
        <v>56</v>
      </c>
      <c r="D43" s="36" t="s">
        <v>2</v>
      </c>
      <c r="E43" s="36" t="s">
        <v>265</v>
      </c>
      <c r="F43" s="37" t="s">
        <v>183</v>
      </c>
      <c r="G43" s="37" t="s">
        <v>245</v>
      </c>
      <c r="H43" s="38" t="s">
        <v>273</v>
      </c>
      <c r="I43" s="39" t="s">
        <v>272</v>
      </c>
      <c r="J43" s="39" t="s">
        <v>249</v>
      </c>
      <c r="K43" s="54" t="s">
        <v>249</v>
      </c>
    </row>
    <row r="44" spans="1:11" ht="30" x14ac:dyDescent="0.25">
      <c r="A44" s="52"/>
      <c r="B44" s="52">
        <v>17</v>
      </c>
      <c r="C44" s="36" t="s">
        <v>60</v>
      </c>
      <c r="D44" s="40" t="s">
        <v>135</v>
      </c>
      <c r="E44" s="40" t="s">
        <v>265</v>
      </c>
      <c r="F44" s="37" t="s">
        <v>179</v>
      </c>
      <c r="G44" s="37" t="s">
        <v>245</v>
      </c>
      <c r="H44" s="40" t="s">
        <v>273</v>
      </c>
      <c r="I44" s="36" t="s">
        <v>262</v>
      </c>
      <c r="J44" s="39" t="s">
        <v>277</v>
      </c>
      <c r="K44" s="53" t="s">
        <v>249</v>
      </c>
    </row>
    <row r="45" spans="1:11" ht="30" x14ac:dyDescent="0.25">
      <c r="A45" s="52"/>
      <c r="B45" s="52">
        <v>27</v>
      </c>
      <c r="C45" s="36" t="s">
        <v>71</v>
      </c>
      <c r="D45" s="40" t="s">
        <v>140</v>
      </c>
      <c r="E45" s="40" t="s">
        <v>265</v>
      </c>
      <c r="F45" s="37" t="s">
        <v>286</v>
      </c>
      <c r="G45" s="37" t="s">
        <v>252</v>
      </c>
      <c r="H45" s="40" t="s">
        <v>249</v>
      </c>
      <c r="I45" s="36" t="s">
        <v>253</v>
      </c>
      <c r="J45" s="39" t="s">
        <v>249</v>
      </c>
      <c r="K45" s="53" t="s">
        <v>249</v>
      </c>
    </row>
    <row r="46" spans="1:11" ht="45" x14ac:dyDescent="0.25">
      <c r="A46" s="52"/>
      <c r="B46" s="52">
        <v>29</v>
      </c>
      <c r="C46" s="36" t="s">
        <v>69</v>
      </c>
      <c r="D46" s="36" t="s">
        <v>1</v>
      </c>
      <c r="E46" s="36" t="s">
        <v>265</v>
      </c>
      <c r="F46" s="37" t="s">
        <v>180</v>
      </c>
      <c r="G46" s="37" t="s">
        <v>245</v>
      </c>
      <c r="H46" s="38" t="s">
        <v>288</v>
      </c>
      <c r="I46" s="36" t="s">
        <v>289</v>
      </c>
      <c r="J46" s="39" t="s">
        <v>260</v>
      </c>
      <c r="K46" s="53" t="s">
        <v>249</v>
      </c>
    </row>
    <row r="47" spans="1:11" x14ac:dyDescent="0.25">
      <c r="A47" s="52"/>
      <c r="B47" s="52">
        <v>36</v>
      </c>
      <c r="C47" s="36" t="s">
        <v>76</v>
      </c>
      <c r="D47" s="36" t="s">
        <v>2</v>
      </c>
      <c r="E47" s="36" t="s">
        <v>265</v>
      </c>
      <c r="F47" s="37" t="s">
        <v>294</v>
      </c>
      <c r="G47" s="37" t="s">
        <v>252</v>
      </c>
      <c r="H47" s="38" t="s">
        <v>249</v>
      </c>
      <c r="I47" s="36" t="s">
        <v>253</v>
      </c>
      <c r="J47" s="39" t="s">
        <v>249</v>
      </c>
      <c r="K47" s="53" t="s">
        <v>249</v>
      </c>
    </row>
    <row r="48" spans="1:11" ht="60" x14ac:dyDescent="0.25">
      <c r="A48" s="52"/>
      <c r="B48" s="52">
        <v>37</v>
      </c>
      <c r="C48" s="36" t="s">
        <v>79</v>
      </c>
      <c r="D48" s="36" t="s">
        <v>12</v>
      </c>
      <c r="E48" s="36" t="s">
        <v>265</v>
      </c>
      <c r="F48" s="37" t="s">
        <v>181</v>
      </c>
      <c r="G48" s="37" t="s">
        <v>245</v>
      </c>
      <c r="H48" s="38" t="s">
        <v>278</v>
      </c>
      <c r="I48" s="36" t="s">
        <v>247</v>
      </c>
      <c r="J48" s="39" t="s">
        <v>248</v>
      </c>
      <c r="K48" s="56" t="s">
        <v>292</v>
      </c>
    </row>
    <row r="49" spans="1:11" x14ac:dyDescent="0.25">
      <c r="A49" s="52"/>
      <c r="B49" s="52">
        <v>38</v>
      </c>
      <c r="C49" s="36" t="s">
        <v>80</v>
      </c>
      <c r="D49" s="36" t="s">
        <v>146</v>
      </c>
      <c r="E49" s="36" t="s">
        <v>265</v>
      </c>
      <c r="F49" s="37" t="s">
        <v>295</v>
      </c>
      <c r="G49" s="37" t="s">
        <v>252</v>
      </c>
      <c r="H49" s="38" t="s">
        <v>249</v>
      </c>
      <c r="I49" s="36" t="s">
        <v>253</v>
      </c>
      <c r="J49" s="39" t="s">
        <v>249</v>
      </c>
      <c r="K49" s="53" t="s">
        <v>249</v>
      </c>
    </row>
    <row r="50" spans="1:11" x14ac:dyDescent="0.25">
      <c r="A50" s="52"/>
      <c r="B50" s="52">
        <v>41</v>
      </c>
      <c r="C50" s="36" t="s">
        <v>83</v>
      </c>
      <c r="D50" s="36" t="s">
        <v>2</v>
      </c>
      <c r="E50" s="36" t="s">
        <v>265</v>
      </c>
      <c r="F50" s="37" t="s">
        <v>294</v>
      </c>
      <c r="G50" s="37" t="s">
        <v>252</v>
      </c>
      <c r="H50" s="38" t="s">
        <v>249</v>
      </c>
      <c r="I50" s="36" t="s">
        <v>253</v>
      </c>
      <c r="J50" s="39" t="s">
        <v>249</v>
      </c>
      <c r="K50" s="53" t="s">
        <v>249</v>
      </c>
    </row>
    <row r="51" spans="1:11" x14ac:dyDescent="0.25">
      <c r="A51" s="52"/>
      <c r="B51" s="52">
        <v>46</v>
      </c>
      <c r="C51" s="36" t="s">
        <v>91</v>
      </c>
      <c r="D51" s="36" t="s">
        <v>149</v>
      </c>
      <c r="E51" s="36" t="s">
        <v>265</v>
      </c>
      <c r="F51" s="37" t="s">
        <v>294</v>
      </c>
      <c r="G51" s="37" t="s">
        <v>252</v>
      </c>
      <c r="H51" s="38" t="s">
        <v>249</v>
      </c>
      <c r="I51" s="36" t="s">
        <v>253</v>
      </c>
      <c r="J51" s="39" t="s">
        <v>249</v>
      </c>
      <c r="K51" s="53" t="s">
        <v>249</v>
      </c>
    </row>
    <row r="52" spans="1:11" ht="30" x14ac:dyDescent="0.25">
      <c r="A52" s="52"/>
      <c r="B52" s="52">
        <v>51</v>
      </c>
      <c r="C52" s="36" t="s">
        <v>93</v>
      </c>
      <c r="D52" s="36" t="s">
        <v>151</v>
      </c>
      <c r="E52" s="36" t="s">
        <v>265</v>
      </c>
      <c r="F52" s="37" t="s">
        <v>182</v>
      </c>
      <c r="G52" s="37" t="s">
        <v>245</v>
      </c>
      <c r="H52" s="38" t="s">
        <v>302</v>
      </c>
      <c r="I52" s="36" t="s">
        <v>268</v>
      </c>
      <c r="J52" s="39" t="s">
        <v>249</v>
      </c>
      <c r="K52" s="53" t="s">
        <v>249</v>
      </c>
    </row>
    <row r="53" spans="1:11" ht="135" x14ac:dyDescent="0.25">
      <c r="A53" s="52"/>
      <c r="B53" s="52">
        <v>63</v>
      </c>
      <c r="C53" s="36" t="s">
        <v>101</v>
      </c>
      <c r="D53" s="35" t="s">
        <v>158</v>
      </c>
      <c r="E53" s="35" t="s">
        <v>265</v>
      </c>
      <c r="F53" s="37" t="s">
        <v>307</v>
      </c>
      <c r="G53" s="37" t="s">
        <v>245</v>
      </c>
      <c r="H53" s="38" t="s">
        <v>273</v>
      </c>
      <c r="I53" s="39" t="s">
        <v>272</v>
      </c>
      <c r="J53" s="39" t="s">
        <v>249</v>
      </c>
      <c r="K53" s="56" t="s">
        <v>308</v>
      </c>
    </row>
    <row r="54" spans="1:11" x14ac:dyDescent="0.25">
      <c r="A54" s="52"/>
      <c r="B54" s="52">
        <v>64</v>
      </c>
      <c r="C54" s="36" t="s">
        <v>99</v>
      </c>
      <c r="D54" s="36" t="s">
        <v>2</v>
      </c>
      <c r="E54" s="36" t="s">
        <v>265</v>
      </c>
      <c r="F54" s="37" t="s">
        <v>266</v>
      </c>
      <c r="G54" s="37" t="s">
        <v>252</v>
      </c>
      <c r="H54" s="38" t="s">
        <v>249</v>
      </c>
      <c r="I54" s="36" t="s">
        <v>253</v>
      </c>
      <c r="J54" s="38" t="s">
        <v>249</v>
      </c>
      <c r="K54" s="53" t="s">
        <v>249</v>
      </c>
    </row>
    <row r="55" spans="1:11" ht="60" x14ac:dyDescent="0.25">
      <c r="A55" s="52"/>
      <c r="B55" s="52">
        <v>86</v>
      </c>
      <c r="C55" s="36" t="s">
        <v>124</v>
      </c>
      <c r="D55" s="36" t="s">
        <v>166</v>
      </c>
      <c r="E55" s="36" t="s">
        <v>265</v>
      </c>
      <c r="F55" s="37" t="s">
        <v>327</v>
      </c>
      <c r="G55" s="37" t="s">
        <v>252</v>
      </c>
      <c r="H55" s="38" t="s">
        <v>249</v>
      </c>
      <c r="I55" s="36" t="s">
        <v>298</v>
      </c>
      <c r="J55" s="39" t="s">
        <v>249</v>
      </c>
      <c r="K55" s="56" t="s">
        <v>292</v>
      </c>
    </row>
    <row r="56" spans="1:11" ht="60" x14ac:dyDescent="0.25">
      <c r="A56" s="52"/>
      <c r="B56" s="52">
        <v>87</v>
      </c>
      <c r="C56" s="36" t="s">
        <v>125</v>
      </c>
      <c r="D56" s="36" t="s">
        <v>13</v>
      </c>
      <c r="E56" s="36" t="s">
        <v>265</v>
      </c>
      <c r="F56" s="37" t="s">
        <v>328</v>
      </c>
      <c r="G56" s="37" t="s">
        <v>252</v>
      </c>
      <c r="H56" s="38" t="s">
        <v>249</v>
      </c>
      <c r="I56" s="36" t="s">
        <v>253</v>
      </c>
      <c r="J56" s="39" t="s">
        <v>249</v>
      </c>
      <c r="K56" s="56" t="s">
        <v>292</v>
      </c>
    </row>
    <row r="57" spans="1:11" ht="60" x14ac:dyDescent="0.25">
      <c r="A57" s="52"/>
      <c r="B57" s="52">
        <v>88</v>
      </c>
      <c r="C57" s="36" t="s">
        <v>126</v>
      </c>
      <c r="D57" s="36" t="s">
        <v>167</v>
      </c>
      <c r="E57" s="36" t="s">
        <v>265</v>
      </c>
      <c r="F57" s="37" t="s">
        <v>183</v>
      </c>
      <c r="G57" s="37" t="s">
        <v>245</v>
      </c>
      <c r="H57" s="38" t="s">
        <v>273</v>
      </c>
      <c r="I57" s="39" t="s">
        <v>272</v>
      </c>
      <c r="J57" s="39" t="s">
        <v>249</v>
      </c>
      <c r="K57" s="56" t="s">
        <v>292</v>
      </c>
    </row>
    <row r="58" spans="1:11" ht="15.75" thickBot="1" x14ac:dyDescent="0.3">
      <c r="A58" s="52"/>
      <c r="B58" s="57">
        <v>89</v>
      </c>
      <c r="C58" s="58" t="s">
        <v>127</v>
      </c>
      <c r="D58" s="58" t="s">
        <v>2</v>
      </c>
      <c r="E58" s="58" t="s">
        <v>265</v>
      </c>
      <c r="F58" s="59" t="s">
        <v>329</v>
      </c>
      <c r="G58" s="59" t="s">
        <v>252</v>
      </c>
      <c r="H58" s="60" t="s">
        <v>249</v>
      </c>
      <c r="I58" s="58" t="s">
        <v>298</v>
      </c>
      <c r="J58" s="58" t="s">
        <v>249</v>
      </c>
      <c r="K58" s="61" t="s">
        <v>249</v>
      </c>
    </row>
    <row r="59" spans="1:11" ht="15.75" x14ac:dyDescent="0.25">
      <c r="A59" s="52"/>
      <c r="B59" s="529" t="s">
        <v>365</v>
      </c>
      <c r="C59" s="530"/>
      <c r="D59" s="530"/>
      <c r="E59" s="530"/>
      <c r="F59" s="530"/>
      <c r="G59" s="531"/>
      <c r="H59" s="402"/>
      <c r="I59" s="401"/>
      <c r="J59" s="401"/>
      <c r="K59" s="305"/>
    </row>
    <row r="60" spans="1:11" ht="30" x14ac:dyDescent="0.25">
      <c r="A60" s="52"/>
      <c r="B60" s="52">
        <v>4</v>
      </c>
      <c r="C60" s="36" t="s">
        <v>48</v>
      </c>
      <c r="D60" s="36" t="s">
        <v>191</v>
      </c>
      <c r="E60" s="36" t="s">
        <v>255</v>
      </c>
      <c r="F60" s="37" t="s">
        <v>178</v>
      </c>
      <c r="G60" s="37" t="s">
        <v>245</v>
      </c>
      <c r="H60" s="38" t="s">
        <v>256</v>
      </c>
      <c r="I60" s="36" t="s">
        <v>257</v>
      </c>
      <c r="J60" s="39" t="s">
        <v>248</v>
      </c>
      <c r="K60" s="53" t="s">
        <v>249</v>
      </c>
    </row>
    <row r="61" spans="1:11" ht="60" x14ac:dyDescent="0.25">
      <c r="A61" s="52"/>
      <c r="B61" s="52">
        <v>5</v>
      </c>
      <c r="C61" s="36" t="s">
        <v>49</v>
      </c>
      <c r="D61" s="36" t="s">
        <v>4</v>
      </c>
      <c r="E61" s="36" t="s">
        <v>255</v>
      </c>
      <c r="F61" s="37" t="s">
        <v>222</v>
      </c>
      <c r="G61" s="37" t="s">
        <v>245</v>
      </c>
      <c r="H61" s="38" t="s">
        <v>258</v>
      </c>
      <c r="I61" s="36" t="s">
        <v>259</v>
      </c>
      <c r="J61" s="39" t="s">
        <v>260</v>
      </c>
      <c r="K61" s="53" t="s">
        <v>249</v>
      </c>
    </row>
    <row r="62" spans="1:11" x14ac:dyDescent="0.25">
      <c r="A62" s="55"/>
      <c r="B62" s="55">
        <v>14</v>
      </c>
      <c r="C62" s="41" t="s">
        <v>57</v>
      </c>
      <c r="D62" s="41" t="s">
        <v>190</v>
      </c>
      <c r="E62" s="41" t="s">
        <v>255</v>
      </c>
      <c r="F62" s="42" t="s">
        <v>274</v>
      </c>
      <c r="G62" s="42" t="s">
        <v>252</v>
      </c>
      <c r="H62" s="43" t="s">
        <v>249</v>
      </c>
      <c r="I62" s="36" t="s">
        <v>272</v>
      </c>
      <c r="J62" s="41" t="s">
        <v>249</v>
      </c>
      <c r="K62" s="54" t="s">
        <v>249</v>
      </c>
    </row>
    <row r="63" spans="1:11" ht="45" x14ac:dyDescent="0.25">
      <c r="A63" s="52"/>
      <c r="B63" s="52">
        <v>18</v>
      </c>
      <c r="C63" s="36" t="s">
        <v>61</v>
      </c>
      <c r="D63" s="36" t="s">
        <v>137</v>
      </c>
      <c r="E63" s="36" t="s">
        <v>255</v>
      </c>
      <c r="F63" s="37" t="s">
        <v>184</v>
      </c>
      <c r="G63" s="37" t="s">
        <v>245</v>
      </c>
      <c r="H63" s="38" t="s">
        <v>278</v>
      </c>
      <c r="I63" s="36" t="s">
        <v>279</v>
      </c>
      <c r="J63" s="39" t="s">
        <v>249</v>
      </c>
      <c r="K63" s="53" t="s">
        <v>249</v>
      </c>
    </row>
    <row r="64" spans="1:11" ht="60" x14ac:dyDescent="0.25">
      <c r="A64" s="52"/>
      <c r="B64" s="52">
        <v>21</v>
      </c>
      <c r="C64" s="36" t="s">
        <v>63</v>
      </c>
      <c r="D64" s="36" t="s">
        <v>4</v>
      </c>
      <c r="E64" s="36" t="s">
        <v>255</v>
      </c>
      <c r="F64" s="37" t="s">
        <v>178</v>
      </c>
      <c r="G64" s="37" t="s">
        <v>245</v>
      </c>
      <c r="H64" s="38" t="s">
        <v>281</v>
      </c>
      <c r="I64" s="36" t="s">
        <v>257</v>
      </c>
      <c r="J64" s="39" t="s">
        <v>282</v>
      </c>
      <c r="K64" s="53" t="s">
        <v>249</v>
      </c>
    </row>
    <row r="65" spans="1:11" x14ac:dyDescent="0.25">
      <c r="A65" s="52"/>
      <c r="B65" s="52">
        <v>33</v>
      </c>
      <c r="C65" s="36" t="s">
        <v>74</v>
      </c>
      <c r="D65" s="36" t="s">
        <v>74</v>
      </c>
      <c r="E65" s="36" t="s">
        <v>255</v>
      </c>
      <c r="F65" s="37" t="s">
        <v>293</v>
      </c>
      <c r="G65" s="37" t="s">
        <v>252</v>
      </c>
      <c r="H65" s="38" t="s">
        <v>249</v>
      </c>
      <c r="I65" s="36" t="s">
        <v>272</v>
      </c>
      <c r="J65" s="39" t="s">
        <v>249</v>
      </c>
      <c r="K65" s="53" t="s">
        <v>249</v>
      </c>
    </row>
    <row r="66" spans="1:11" x14ac:dyDescent="0.25">
      <c r="A66" s="52"/>
      <c r="B66" s="52">
        <v>40</v>
      </c>
      <c r="C66" s="36" t="s">
        <v>81</v>
      </c>
      <c r="D66" s="36" t="s">
        <v>201</v>
      </c>
      <c r="E66" s="36" t="s">
        <v>255</v>
      </c>
      <c r="F66" s="37" t="s">
        <v>293</v>
      </c>
      <c r="G66" s="37" t="s">
        <v>252</v>
      </c>
      <c r="H66" s="38" t="s">
        <v>249</v>
      </c>
      <c r="I66" s="36" t="s">
        <v>272</v>
      </c>
      <c r="J66" s="39" t="s">
        <v>249</v>
      </c>
      <c r="K66" s="53" t="s">
        <v>249</v>
      </c>
    </row>
    <row r="67" spans="1:11" ht="45" x14ac:dyDescent="0.25">
      <c r="A67" s="52"/>
      <c r="B67" s="52">
        <v>45</v>
      </c>
      <c r="C67" s="36" t="s">
        <v>86</v>
      </c>
      <c r="D67" s="40" t="s">
        <v>148</v>
      </c>
      <c r="E67" s="40" t="s">
        <v>255</v>
      </c>
      <c r="F67" s="37" t="s">
        <v>299</v>
      </c>
      <c r="G67" s="37" t="s">
        <v>245</v>
      </c>
      <c r="H67" s="44" t="s">
        <v>278</v>
      </c>
      <c r="I67" s="36" t="s">
        <v>259</v>
      </c>
      <c r="J67" s="36" t="s">
        <v>300</v>
      </c>
      <c r="K67" s="53" t="s">
        <v>249</v>
      </c>
    </row>
    <row r="68" spans="1:11" x14ac:dyDescent="0.25">
      <c r="A68" s="52"/>
      <c r="B68" s="52">
        <v>48</v>
      </c>
      <c r="C68" s="36" t="s">
        <v>90</v>
      </c>
      <c r="D68" s="36" t="s">
        <v>197</v>
      </c>
      <c r="E68" s="36" t="s">
        <v>255</v>
      </c>
      <c r="F68" s="45" t="s">
        <v>274</v>
      </c>
      <c r="G68" s="37" t="s">
        <v>252</v>
      </c>
      <c r="H68" s="38" t="s">
        <v>249</v>
      </c>
      <c r="I68" s="36" t="s">
        <v>272</v>
      </c>
      <c r="J68" s="39" t="s">
        <v>249</v>
      </c>
      <c r="K68" s="53" t="s">
        <v>249</v>
      </c>
    </row>
    <row r="69" spans="1:11" ht="60" x14ac:dyDescent="0.25">
      <c r="A69" s="52"/>
      <c r="B69" s="52">
        <v>58</v>
      </c>
      <c r="C69" s="36" t="s">
        <v>15</v>
      </c>
      <c r="D69" s="40" t="s">
        <v>157</v>
      </c>
      <c r="E69" s="40" t="s">
        <v>255</v>
      </c>
      <c r="F69" s="37" t="s">
        <v>178</v>
      </c>
      <c r="G69" s="37" t="s">
        <v>245</v>
      </c>
      <c r="H69" s="40" t="s">
        <v>281</v>
      </c>
      <c r="I69" s="36" t="s">
        <v>257</v>
      </c>
      <c r="J69" s="40" t="s">
        <v>282</v>
      </c>
      <c r="K69" s="53" t="s">
        <v>249</v>
      </c>
    </row>
    <row r="70" spans="1:11" x14ac:dyDescent="0.25">
      <c r="A70" s="52"/>
      <c r="B70" s="52">
        <v>69</v>
      </c>
      <c r="C70" s="36" t="s">
        <v>105</v>
      </c>
      <c r="D70" s="36" t="s">
        <v>162</v>
      </c>
      <c r="E70" s="36" t="s">
        <v>255</v>
      </c>
      <c r="F70" s="37" t="s">
        <v>311</v>
      </c>
      <c r="G70" s="37" t="s">
        <v>252</v>
      </c>
      <c r="H70" s="38" t="s">
        <v>249</v>
      </c>
      <c r="I70" s="36" t="s">
        <v>272</v>
      </c>
      <c r="J70" s="39" t="s">
        <v>249</v>
      </c>
      <c r="K70" s="53" t="s">
        <v>249</v>
      </c>
    </row>
    <row r="71" spans="1:11" x14ac:dyDescent="0.25">
      <c r="A71" s="52"/>
      <c r="B71" s="52">
        <v>72</v>
      </c>
      <c r="C71" s="36" t="s">
        <v>112</v>
      </c>
      <c r="D71" s="36" t="s">
        <v>4</v>
      </c>
      <c r="E71" s="36" t="s">
        <v>255</v>
      </c>
      <c r="F71" s="37" t="s">
        <v>223</v>
      </c>
      <c r="G71" s="37" t="s">
        <v>245</v>
      </c>
      <c r="H71" s="38" t="s">
        <v>314</v>
      </c>
      <c r="I71" s="36" t="s">
        <v>257</v>
      </c>
      <c r="J71" s="39" t="s">
        <v>282</v>
      </c>
      <c r="K71" s="53" t="s">
        <v>249</v>
      </c>
    </row>
    <row r="72" spans="1:11" ht="60" x14ac:dyDescent="0.25">
      <c r="A72" s="52"/>
      <c r="B72" s="52">
        <v>80</v>
      </c>
      <c r="C72" s="36" t="s">
        <v>118</v>
      </c>
      <c r="D72" s="40" t="s">
        <v>215</v>
      </c>
      <c r="E72" s="40" t="s">
        <v>255</v>
      </c>
      <c r="F72" s="37" t="s">
        <v>322</v>
      </c>
      <c r="G72" s="37" t="s">
        <v>252</v>
      </c>
      <c r="H72" s="40" t="s">
        <v>249</v>
      </c>
      <c r="I72" s="36" t="s">
        <v>272</v>
      </c>
      <c r="J72" s="39" t="s">
        <v>249</v>
      </c>
      <c r="K72" s="53" t="s">
        <v>249</v>
      </c>
    </row>
    <row r="73" spans="1:11" ht="16.5" thickBot="1" x14ac:dyDescent="0.3">
      <c r="A73" s="52"/>
      <c r="B73" s="532" t="s">
        <v>372</v>
      </c>
      <c r="C73" s="533"/>
      <c r="D73" s="533"/>
      <c r="E73" s="533"/>
      <c r="F73" s="533"/>
      <c r="G73" s="534"/>
      <c r="H73" s="404"/>
      <c r="I73" s="403"/>
      <c r="J73" s="405"/>
      <c r="K73" s="351"/>
    </row>
    <row r="74" spans="1:11" ht="30" x14ac:dyDescent="0.25">
      <c r="A74" s="52"/>
      <c r="B74" s="46">
        <v>1</v>
      </c>
      <c r="C74" s="47" t="s">
        <v>44</v>
      </c>
      <c r="D74" s="47" t="s">
        <v>128</v>
      </c>
      <c r="E74" s="47" t="s">
        <v>244</v>
      </c>
      <c r="F74" s="48" t="s">
        <v>219</v>
      </c>
      <c r="G74" s="48" t="s">
        <v>245</v>
      </c>
      <c r="H74" s="49" t="s">
        <v>246</v>
      </c>
      <c r="I74" s="47" t="s">
        <v>247</v>
      </c>
      <c r="J74" s="50" t="s">
        <v>248</v>
      </c>
      <c r="K74" s="51" t="s">
        <v>249</v>
      </c>
    </row>
    <row r="75" spans="1:11" ht="75" x14ac:dyDescent="0.25">
      <c r="A75" s="52"/>
      <c r="B75" s="52">
        <v>3</v>
      </c>
      <c r="C75" s="36" t="s">
        <v>46</v>
      </c>
      <c r="D75" s="36" t="s">
        <v>128</v>
      </c>
      <c r="E75" s="36" t="s">
        <v>244</v>
      </c>
      <c r="F75" s="37" t="s">
        <v>220</v>
      </c>
      <c r="G75" s="37" t="s">
        <v>245</v>
      </c>
      <c r="H75" s="38" t="s">
        <v>254</v>
      </c>
      <c r="I75" s="36" t="s">
        <v>247</v>
      </c>
      <c r="J75" s="39" t="s">
        <v>248</v>
      </c>
      <c r="K75" s="53" t="s">
        <v>249</v>
      </c>
    </row>
    <row r="76" spans="1:11" ht="45" x14ac:dyDescent="0.25">
      <c r="A76" s="52"/>
      <c r="B76" s="52">
        <v>6</v>
      </c>
      <c r="C76" s="36" t="s">
        <v>50</v>
      </c>
      <c r="D76" s="36" t="s">
        <v>128</v>
      </c>
      <c r="E76" s="36" t="s">
        <v>244</v>
      </c>
      <c r="F76" s="37" t="s">
        <v>221</v>
      </c>
      <c r="G76" s="37" t="s">
        <v>245</v>
      </c>
      <c r="H76" s="38" t="s">
        <v>261</v>
      </c>
      <c r="I76" s="36" t="s">
        <v>262</v>
      </c>
      <c r="J76" s="39" t="s">
        <v>248</v>
      </c>
      <c r="K76" s="53" t="s">
        <v>249</v>
      </c>
    </row>
    <row r="77" spans="1:11" ht="30" x14ac:dyDescent="0.25">
      <c r="A77" s="52"/>
      <c r="B77" s="52">
        <v>20</v>
      </c>
      <c r="C77" s="36" t="s">
        <v>64</v>
      </c>
      <c r="D77" s="36" t="s">
        <v>193</v>
      </c>
      <c r="E77" s="36" t="s">
        <v>244</v>
      </c>
      <c r="F77" s="37" t="s">
        <v>219</v>
      </c>
      <c r="G77" s="37" t="s">
        <v>245</v>
      </c>
      <c r="H77" s="38" t="s">
        <v>246</v>
      </c>
      <c r="I77" s="36" t="s">
        <v>247</v>
      </c>
      <c r="J77" s="39" t="s">
        <v>248</v>
      </c>
      <c r="K77" s="53" t="s">
        <v>249</v>
      </c>
    </row>
    <row r="78" spans="1:11" ht="30" x14ac:dyDescent="0.25">
      <c r="A78" s="52"/>
      <c r="B78" s="52">
        <v>35</v>
      </c>
      <c r="C78" s="36" t="s">
        <v>75</v>
      </c>
      <c r="D78" s="40" t="s">
        <v>196</v>
      </c>
      <c r="E78" s="40" t="s">
        <v>244</v>
      </c>
      <c r="F78" s="37" t="s">
        <v>219</v>
      </c>
      <c r="G78" s="37" t="s">
        <v>245</v>
      </c>
      <c r="H78" s="38" t="s">
        <v>246</v>
      </c>
      <c r="I78" s="36" t="s">
        <v>247</v>
      </c>
      <c r="J78" s="39" t="s">
        <v>248</v>
      </c>
      <c r="K78" s="53" t="s">
        <v>249</v>
      </c>
    </row>
    <row r="79" spans="1:11" ht="30" x14ac:dyDescent="0.25">
      <c r="A79" s="52"/>
      <c r="B79" s="52">
        <v>49</v>
      </c>
      <c r="C79" s="36" t="s">
        <v>87</v>
      </c>
      <c r="D79" s="40" t="s">
        <v>196</v>
      </c>
      <c r="E79" s="40" t="s">
        <v>244</v>
      </c>
      <c r="F79" s="37" t="s">
        <v>219</v>
      </c>
      <c r="G79" s="37" t="s">
        <v>245</v>
      </c>
      <c r="H79" s="38" t="s">
        <v>246</v>
      </c>
      <c r="I79" s="36" t="s">
        <v>247</v>
      </c>
      <c r="J79" s="39" t="s">
        <v>248</v>
      </c>
      <c r="K79" s="53" t="s">
        <v>249</v>
      </c>
    </row>
    <row r="80" spans="1:11" ht="60" x14ac:dyDescent="0.25">
      <c r="A80" s="52"/>
      <c r="B80" s="52">
        <v>52</v>
      </c>
      <c r="C80" s="36" t="s">
        <v>94</v>
      </c>
      <c r="D80" s="40" t="s">
        <v>152</v>
      </c>
      <c r="E80" s="40" t="s">
        <v>244</v>
      </c>
      <c r="F80" s="37" t="s">
        <v>218</v>
      </c>
      <c r="G80" s="37" t="s">
        <v>245</v>
      </c>
      <c r="H80" s="38" t="s">
        <v>303</v>
      </c>
      <c r="I80" s="36" t="s">
        <v>247</v>
      </c>
      <c r="J80" s="39" t="s">
        <v>248</v>
      </c>
      <c r="K80" s="56" t="s">
        <v>292</v>
      </c>
    </row>
    <row r="81" spans="1:11" ht="195" x14ac:dyDescent="0.25">
      <c r="A81" s="52"/>
      <c r="B81" s="52">
        <v>56</v>
      </c>
      <c r="C81" s="36" t="s">
        <v>102</v>
      </c>
      <c r="D81" s="40" t="s">
        <v>155</v>
      </c>
      <c r="E81" s="40" t="s">
        <v>244</v>
      </c>
      <c r="F81" s="37" t="s">
        <v>174</v>
      </c>
      <c r="G81" s="37" t="s">
        <v>245</v>
      </c>
      <c r="H81" s="38" t="s">
        <v>303</v>
      </c>
      <c r="I81" s="36" t="s">
        <v>247</v>
      </c>
      <c r="J81" s="39" t="s">
        <v>248</v>
      </c>
      <c r="K81" s="212" t="s">
        <v>334</v>
      </c>
    </row>
    <row r="82" spans="1:11" ht="15.75" x14ac:dyDescent="0.25">
      <c r="A82" s="52"/>
      <c r="B82" s="526" t="s">
        <v>366</v>
      </c>
      <c r="C82" s="527"/>
      <c r="D82" s="527"/>
      <c r="E82" s="527"/>
      <c r="F82" s="527"/>
      <c r="G82" s="528"/>
      <c r="H82" s="38"/>
      <c r="I82" s="36"/>
      <c r="J82" s="39"/>
      <c r="K82" s="406"/>
    </row>
    <row r="83" spans="1:11" ht="30" x14ac:dyDescent="0.25">
      <c r="A83" s="52"/>
      <c r="B83" s="52">
        <v>11</v>
      </c>
      <c r="C83" s="36" t="s">
        <v>54</v>
      </c>
      <c r="D83" s="36" t="s">
        <v>7</v>
      </c>
      <c r="E83" s="36" t="s">
        <v>270</v>
      </c>
      <c r="F83" s="37" t="s">
        <v>224</v>
      </c>
      <c r="G83" s="37" t="s">
        <v>245</v>
      </c>
      <c r="H83" s="38" t="s">
        <v>256</v>
      </c>
      <c r="I83" s="36" t="s">
        <v>272</v>
      </c>
      <c r="J83" s="39" t="s">
        <v>249</v>
      </c>
      <c r="K83" s="53" t="s">
        <v>249</v>
      </c>
    </row>
    <row r="84" spans="1:11" ht="60" x14ac:dyDescent="0.25">
      <c r="A84" s="52"/>
      <c r="B84" s="52">
        <v>15</v>
      </c>
      <c r="C84" s="36" t="s">
        <v>58</v>
      </c>
      <c r="D84" s="36" t="s">
        <v>9</v>
      </c>
      <c r="E84" s="36" t="s">
        <v>270</v>
      </c>
      <c r="F84" s="37" t="s">
        <v>176</v>
      </c>
      <c r="G84" s="37" t="s">
        <v>245</v>
      </c>
      <c r="H84" s="38" t="s">
        <v>275</v>
      </c>
      <c r="I84" s="36" t="s">
        <v>272</v>
      </c>
      <c r="J84" s="39" t="s">
        <v>249</v>
      </c>
      <c r="K84" s="53" t="s">
        <v>249</v>
      </c>
    </row>
    <row r="85" spans="1:11" ht="60" x14ac:dyDescent="0.25">
      <c r="A85" s="52"/>
      <c r="B85" s="52">
        <v>16</v>
      </c>
      <c r="C85" s="36" t="s">
        <v>59</v>
      </c>
      <c r="D85" s="40" t="s">
        <v>134</v>
      </c>
      <c r="E85" s="40" t="s">
        <v>270</v>
      </c>
      <c r="F85" s="37" t="s">
        <v>276</v>
      </c>
      <c r="G85" s="37" t="s">
        <v>252</v>
      </c>
      <c r="H85" s="40" t="s">
        <v>249</v>
      </c>
      <c r="I85" s="36" t="s">
        <v>253</v>
      </c>
      <c r="J85" s="39" t="s">
        <v>249</v>
      </c>
      <c r="K85" s="53" t="s">
        <v>249</v>
      </c>
    </row>
    <row r="86" spans="1:11" x14ac:dyDescent="0.25">
      <c r="A86" s="52"/>
      <c r="B86" s="52">
        <v>19</v>
      </c>
      <c r="C86" s="36" t="s">
        <v>62</v>
      </c>
      <c r="D86" s="36" t="s">
        <v>192</v>
      </c>
      <c r="E86" s="36" t="s">
        <v>270</v>
      </c>
      <c r="F86" s="37" t="s">
        <v>280</v>
      </c>
      <c r="G86" s="37" t="s">
        <v>252</v>
      </c>
      <c r="H86" s="38" t="s">
        <v>249</v>
      </c>
      <c r="I86" s="36" t="s">
        <v>253</v>
      </c>
      <c r="J86" s="39" t="s">
        <v>249</v>
      </c>
      <c r="K86" s="53" t="s">
        <v>249</v>
      </c>
    </row>
    <row r="87" spans="1:11" x14ac:dyDescent="0.25">
      <c r="A87" s="52"/>
      <c r="B87" s="52">
        <v>39</v>
      </c>
      <c r="C87" s="36" t="s">
        <v>82</v>
      </c>
      <c r="D87" s="36" t="s">
        <v>200</v>
      </c>
      <c r="E87" s="36" t="s">
        <v>270</v>
      </c>
      <c r="F87" s="37" t="s">
        <v>296</v>
      </c>
      <c r="G87" s="37" t="s">
        <v>252</v>
      </c>
      <c r="H87" s="38" t="s">
        <v>249</v>
      </c>
      <c r="I87" s="36" t="s">
        <v>253</v>
      </c>
      <c r="J87" s="39" t="s">
        <v>249</v>
      </c>
      <c r="K87" s="53" t="s">
        <v>249</v>
      </c>
    </row>
    <row r="88" spans="1:11" ht="30" x14ac:dyDescent="0.25">
      <c r="A88" s="52"/>
      <c r="B88" s="52">
        <v>42</v>
      </c>
      <c r="C88" s="36" t="s">
        <v>84</v>
      </c>
      <c r="D88" s="36" t="s">
        <v>147</v>
      </c>
      <c r="E88" s="36" t="s">
        <v>270</v>
      </c>
      <c r="F88" s="37" t="s">
        <v>177</v>
      </c>
      <c r="G88" s="37" t="s">
        <v>245</v>
      </c>
      <c r="H88" s="38" t="s">
        <v>271</v>
      </c>
      <c r="I88" s="36" t="s">
        <v>279</v>
      </c>
      <c r="J88" s="39" t="s">
        <v>249</v>
      </c>
      <c r="K88" s="53" t="s">
        <v>249</v>
      </c>
    </row>
    <row r="89" spans="1:11" x14ac:dyDescent="0.25">
      <c r="A89" s="52"/>
      <c r="B89" s="52">
        <v>44</v>
      </c>
      <c r="C89" s="36" t="s">
        <v>89</v>
      </c>
      <c r="D89" s="36" t="s">
        <v>199</v>
      </c>
      <c r="E89" s="36" t="s">
        <v>270</v>
      </c>
      <c r="F89" s="37" t="s">
        <v>297</v>
      </c>
      <c r="G89" s="37" t="s">
        <v>252</v>
      </c>
      <c r="H89" s="38" t="s">
        <v>249</v>
      </c>
      <c r="I89" s="36" t="s">
        <v>298</v>
      </c>
      <c r="J89" s="39" t="s">
        <v>249</v>
      </c>
      <c r="K89" s="53" t="s">
        <v>249</v>
      </c>
    </row>
    <row r="90" spans="1:11" ht="30" x14ac:dyDescent="0.25">
      <c r="A90" s="52"/>
      <c r="B90" s="52">
        <v>53</v>
      </c>
      <c r="C90" s="36" t="s">
        <v>88</v>
      </c>
      <c r="D90" s="40" t="s">
        <v>153</v>
      </c>
      <c r="E90" s="40" t="s">
        <v>270</v>
      </c>
      <c r="F90" s="37" t="s">
        <v>276</v>
      </c>
      <c r="G90" s="37" t="s">
        <v>252</v>
      </c>
      <c r="H90" s="40" t="s">
        <v>249</v>
      </c>
      <c r="I90" s="36" t="s">
        <v>253</v>
      </c>
      <c r="J90" s="39" t="s">
        <v>249</v>
      </c>
      <c r="K90" s="53" t="s">
        <v>249</v>
      </c>
    </row>
    <row r="91" spans="1:11" ht="75" x14ac:dyDescent="0.25">
      <c r="A91" s="52"/>
      <c r="B91" s="52">
        <v>59</v>
      </c>
      <c r="C91" s="36" t="s">
        <v>8</v>
      </c>
      <c r="D91" s="36" t="s">
        <v>203</v>
      </c>
      <c r="E91" s="36" t="s">
        <v>270</v>
      </c>
      <c r="F91" s="37" t="s">
        <v>225</v>
      </c>
      <c r="G91" s="37" t="s">
        <v>245</v>
      </c>
      <c r="H91" s="38" t="s">
        <v>305</v>
      </c>
      <c r="I91" s="36" t="s">
        <v>272</v>
      </c>
      <c r="J91" s="39" t="s">
        <v>249</v>
      </c>
      <c r="K91" s="53" t="s">
        <v>249</v>
      </c>
    </row>
    <row r="92" spans="1:11" ht="30" x14ac:dyDescent="0.25">
      <c r="A92" s="52"/>
      <c r="B92" s="52">
        <v>60</v>
      </c>
      <c r="C92" s="36" t="s">
        <v>14</v>
      </c>
      <c r="D92" s="40" t="s">
        <v>204</v>
      </c>
      <c r="E92" s="40" t="s">
        <v>270</v>
      </c>
      <c r="F92" s="37" t="s">
        <v>351</v>
      </c>
      <c r="G92" s="37" t="s">
        <v>252</v>
      </c>
      <c r="H92" s="40" t="s">
        <v>249</v>
      </c>
      <c r="I92" s="36" t="s">
        <v>272</v>
      </c>
      <c r="J92" s="40" t="s">
        <v>249</v>
      </c>
      <c r="K92" s="53" t="s">
        <v>249</v>
      </c>
    </row>
    <row r="93" spans="1:11" ht="90" x14ac:dyDescent="0.25">
      <c r="A93" s="52"/>
      <c r="B93" s="52">
        <v>70</v>
      </c>
      <c r="C93" s="36" t="s">
        <v>106</v>
      </c>
      <c r="D93" s="36" t="s">
        <v>9</v>
      </c>
      <c r="E93" s="36" t="s">
        <v>270</v>
      </c>
      <c r="F93" s="37" t="s">
        <v>226</v>
      </c>
      <c r="G93" s="37" t="s">
        <v>245</v>
      </c>
      <c r="H93" s="38" t="s">
        <v>312</v>
      </c>
      <c r="I93" s="36"/>
      <c r="J93" s="36"/>
      <c r="K93" s="53" t="s">
        <v>249</v>
      </c>
    </row>
    <row r="94" spans="1:11" x14ac:dyDescent="0.25">
      <c r="A94" s="52"/>
      <c r="B94" s="52">
        <v>71</v>
      </c>
      <c r="C94" s="36" t="s">
        <v>107</v>
      </c>
      <c r="D94" s="36" t="s">
        <v>163</v>
      </c>
      <c r="E94" s="36" t="s">
        <v>270</v>
      </c>
      <c r="F94" s="37" t="s">
        <v>313</v>
      </c>
      <c r="G94" s="37" t="s">
        <v>252</v>
      </c>
      <c r="H94" s="38" t="s">
        <v>249</v>
      </c>
      <c r="I94" s="36" t="s">
        <v>253</v>
      </c>
      <c r="J94" s="39" t="s">
        <v>249</v>
      </c>
      <c r="K94" s="53" t="s">
        <v>249</v>
      </c>
    </row>
    <row r="95" spans="1:11" x14ac:dyDescent="0.25">
      <c r="A95" s="52"/>
      <c r="B95" s="52">
        <v>73</v>
      </c>
      <c r="C95" s="36" t="s">
        <v>108</v>
      </c>
      <c r="D95" s="36" t="s">
        <v>164</v>
      </c>
      <c r="E95" s="36" t="s">
        <v>270</v>
      </c>
      <c r="F95" s="37" t="s">
        <v>315</v>
      </c>
      <c r="G95" s="37" t="s">
        <v>252</v>
      </c>
      <c r="H95" s="38" t="s">
        <v>249</v>
      </c>
      <c r="I95" s="36" t="s">
        <v>253</v>
      </c>
      <c r="J95" s="39" t="s">
        <v>249</v>
      </c>
      <c r="K95" s="53" t="s">
        <v>249</v>
      </c>
    </row>
    <row r="96" spans="1:11" x14ac:dyDescent="0.25">
      <c r="A96" s="52"/>
      <c r="B96" s="52">
        <v>78</v>
      </c>
      <c r="C96" s="36" t="s">
        <v>116</v>
      </c>
      <c r="D96" s="36" t="s">
        <v>320</v>
      </c>
      <c r="E96" s="36" t="s">
        <v>270</v>
      </c>
      <c r="F96" s="37" t="s">
        <v>321</v>
      </c>
      <c r="G96" s="37" t="s">
        <v>252</v>
      </c>
      <c r="H96" s="38" t="s">
        <v>249</v>
      </c>
      <c r="I96" s="36" t="s">
        <v>253</v>
      </c>
      <c r="J96" s="39" t="s">
        <v>249</v>
      </c>
      <c r="K96" s="53" t="s">
        <v>249</v>
      </c>
    </row>
    <row r="97" spans="1:11" ht="75" x14ac:dyDescent="0.25">
      <c r="A97" s="52"/>
      <c r="B97" s="52">
        <v>79</v>
      </c>
      <c r="C97" s="36" t="s">
        <v>117</v>
      </c>
      <c r="D97" s="40" t="s">
        <v>209</v>
      </c>
      <c r="E97" s="40" t="s">
        <v>270</v>
      </c>
      <c r="F97" s="37" t="s">
        <v>297</v>
      </c>
      <c r="G97" s="37" t="s">
        <v>252</v>
      </c>
      <c r="H97" s="40" t="s">
        <v>249</v>
      </c>
      <c r="I97" s="36" t="s">
        <v>298</v>
      </c>
      <c r="J97" s="39" t="s">
        <v>249</v>
      </c>
      <c r="K97" s="53" t="s">
        <v>249</v>
      </c>
    </row>
    <row r="98" spans="1:11" ht="15.75" thickBot="1" x14ac:dyDescent="0.3">
      <c r="A98" s="57"/>
      <c r="B98" s="52">
        <v>81</v>
      </c>
      <c r="C98" s="36" t="s">
        <v>119</v>
      </c>
      <c r="D98" s="36" t="s">
        <v>211</v>
      </c>
      <c r="E98" s="36" t="s">
        <v>270</v>
      </c>
      <c r="F98" s="37" t="s">
        <v>323</v>
      </c>
      <c r="G98" s="37" t="s">
        <v>252</v>
      </c>
      <c r="H98" s="38" t="s">
        <v>249</v>
      </c>
      <c r="I98" s="36" t="s">
        <v>253</v>
      </c>
      <c r="J98" s="39" t="s">
        <v>249</v>
      </c>
      <c r="K98" s="53" t="s">
        <v>249</v>
      </c>
    </row>
  </sheetData>
  <mergeCells count="14">
    <mergeCell ref="B5:G5"/>
    <mergeCell ref="B41:G41"/>
    <mergeCell ref="B59:G59"/>
    <mergeCell ref="B73:G73"/>
    <mergeCell ref="B82:G82"/>
    <mergeCell ref="I2:I4"/>
    <mergeCell ref="J2:J4"/>
    <mergeCell ref="K2:K4"/>
    <mergeCell ref="B2:C4"/>
    <mergeCell ref="D2:D4"/>
    <mergeCell ref="E2:E4"/>
    <mergeCell ref="F2:F4"/>
    <mergeCell ref="G2:G4"/>
    <mergeCell ref="H2:H4"/>
  </mergeCells>
  <pageMargins left="0.7" right="0.7" top="0.75" bottom="0.75" header="0.3" footer="0.3"/>
  <pageSetup paperSize="8" scale="90" orientation="portrait" r:id="rId1"/>
  <rowBreaks count="2" manualBreakCount="2">
    <brk id="17" min="1" max="10" man="1"/>
    <brk id="52" min="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9"/>
  <sheetViews>
    <sheetView zoomScaleNormal="100" workbookViewId="0">
      <pane ySplit="4" topLeftCell="A13" activePane="bottomLeft" state="frozen"/>
      <selection pane="bottomLeft" activeCell="D25" sqref="D25"/>
    </sheetView>
  </sheetViews>
  <sheetFormatPr defaultRowHeight="15" x14ac:dyDescent="0.25"/>
  <cols>
    <col min="2" max="2" width="15.42578125" customWidth="1"/>
    <col min="3" max="3" width="17" customWidth="1"/>
    <col min="4" max="4" width="14.7109375" customWidth="1"/>
    <col min="5" max="13" width="9.140625" customWidth="1"/>
    <col min="14" max="14" width="9.7109375" customWidth="1"/>
  </cols>
  <sheetData>
    <row r="1" spans="1:16" ht="15.75" thickBot="1" x14ac:dyDescent="0.3"/>
    <row r="2" spans="1:16" ht="15.75" thickBot="1" x14ac:dyDescent="0.3">
      <c r="A2" s="535" t="s">
        <v>348</v>
      </c>
      <c r="B2" s="538" t="s">
        <v>347</v>
      </c>
      <c r="C2" s="535" t="s">
        <v>26</v>
      </c>
      <c r="D2" s="538" t="s">
        <v>237</v>
      </c>
      <c r="E2" s="541" t="s">
        <v>346</v>
      </c>
      <c r="F2" s="542"/>
      <c r="G2" s="542"/>
      <c r="H2" s="542"/>
      <c r="I2" s="542"/>
      <c r="J2" s="542"/>
      <c r="K2" s="542"/>
      <c r="L2" s="542"/>
      <c r="M2" s="542"/>
      <c r="N2" s="543"/>
      <c r="O2" s="535" t="s">
        <v>345</v>
      </c>
      <c r="P2" s="535"/>
    </row>
    <row r="3" spans="1:16" ht="60.75" thickBot="1" x14ac:dyDescent="0.3">
      <c r="A3" s="536"/>
      <c r="B3" s="539"/>
      <c r="C3" s="536"/>
      <c r="D3" s="539"/>
      <c r="E3" s="230" t="s">
        <v>344</v>
      </c>
      <c r="F3" s="251" t="s">
        <v>343</v>
      </c>
      <c r="G3" s="251" t="s">
        <v>342</v>
      </c>
      <c r="H3" s="251" t="s">
        <v>341</v>
      </c>
      <c r="I3" s="251" t="s">
        <v>340</v>
      </c>
      <c r="J3" s="251" t="s">
        <v>339</v>
      </c>
      <c r="K3" s="230" t="s">
        <v>338</v>
      </c>
      <c r="L3" s="229" t="s">
        <v>337</v>
      </c>
      <c r="M3" s="230" t="s">
        <v>336</v>
      </c>
      <c r="N3" s="229" t="s">
        <v>335</v>
      </c>
      <c r="O3" s="536"/>
      <c r="P3" s="536"/>
    </row>
    <row r="4" spans="1:16" ht="15.75" thickBot="1" x14ac:dyDescent="0.3">
      <c r="A4" s="537"/>
      <c r="B4" s="540"/>
      <c r="C4" s="537"/>
      <c r="D4" s="539"/>
      <c r="E4" s="227">
        <v>1</v>
      </c>
      <c r="F4" s="228">
        <v>2</v>
      </c>
      <c r="G4" s="227">
        <v>3</v>
      </c>
      <c r="H4" s="227">
        <v>4</v>
      </c>
      <c r="I4" s="227">
        <v>5</v>
      </c>
      <c r="J4" s="227">
        <v>6</v>
      </c>
      <c r="K4" s="227">
        <v>7</v>
      </c>
      <c r="L4" s="227">
        <v>8</v>
      </c>
      <c r="M4" s="227">
        <v>9</v>
      </c>
      <c r="N4" s="227">
        <v>10</v>
      </c>
      <c r="O4" s="537"/>
      <c r="P4" s="537"/>
    </row>
    <row r="5" spans="1:16" ht="15.75" x14ac:dyDescent="0.25">
      <c r="A5" s="550" t="s">
        <v>362</v>
      </c>
      <c r="B5" s="551"/>
      <c r="C5" s="551"/>
      <c r="D5" s="552"/>
      <c r="E5" s="408"/>
      <c r="F5" s="252"/>
      <c r="G5" s="267"/>
      <c r="H5" s="407"/>
      <c r="I5" s="267"/>
      <c r="J5" s="407"/>
      <c r="K5" s="267"/>
      <c r="L5" s="267"/>
      <c r="M5" s="407"/>
      <c r="N5" s="267"/>
      <c r="O5" s="407"/>
      <c r="P5" s="267"/>
    </row>
    <row r="6" spans="1:16" x14ac:dyDescent="0.25">
      <c r="A6" s="111">
        <v>1</v>
      </c>
      <c r="B6" s="37" t="s">
        <v>170</v>
      </c>
      <c r="C6" s="103" t="s">
        <v>73</v>
      </c>
      <c r="D6" s="111" t="s">
        <v>250</v>
      </c>
      <c r="E6" s="223">
        <v>5</v>
      </c>
      <c r="F6" s="221">
        <v>5</v>
      </c>
      <c r="G6" s="222">
        <v>2</v>
      </c>
      <c r="H6" s="221">
        <v>3</v>
      </c>
      <c r="I6" s="222">
        <v>4</v>
      </c>
      <c r="J6" s="221">
        <v>2</v>
      </c>
      <c r="K6" s="222">
        <v>4</v>
      </c>
      <c r="L6" s="222">
        <v>2</v>
      </c>
      <c r="M6" s="221">
        <v>3</v>
      </c>
      <c r="N6" s="111">
        <v>5</v>
      </c>
      <c r="O6" s="249">
        <f t="shared" ref="O6:O84" si="0">SUM(E6:N6)</f>
        <v>35</v>
      </c>
      <c r="P6" s="111"/>
    </row>
    <row r="7" spans="1:16" x14ac:dyDescent="0.25">
      <c r="A7" s="111">
        <v>2</v>
      </c>
      <c r="B7" s="37" t="s">
        <v>173</v>
      </c>
      <c r="C7" s="260" t="s">
        <v>52</v>
      </c>
      <c r="D7" s="111" t="s">
        <v>250</v>
      </c>
      <c r="E7" s="223">
        <v>5</v>
      </c>
      <c r="F7" s="221">
        <v>0</v>
      </c>
      <c r="G7" s="222">
        <v>2</v>
      </c>
      <c r="H7" s="221">
        <v>5</v>
      </c>
      <c r="I7" s="222">
        <v>5</v>
      </c>
      <c r="J7" s="221">
        <v>2</v>
      </c>
      <c r="K7" s="222">
        <v>3</v>
      </c>
      <c r="L7" s="222">
        <v>2</v>
      </c>
      <c r="M7" s="221">
        <v>5</v>
      </c>
      <c r="N7" s="111">
        <v>5</v>
      </c>
      <c r="O7" s="249">
        <f t="shared" si="0"/>
        <v>34</v>
      </c>
      <c r="P7" s="111"/>
    </row>
    <row r="8" spans="1:16" x14ac:dyDescent="0.25">
      <c r="A8" s="111">
        <v>3</v>
      </c>
      <c r="B8" s="37" t="s">
        <v>173</v>
      </c>
      <c r="C8" s="260" t="s">
        <v>55</v>
      </c>
      <c r="D8" s="224" t="s">
        <v>250</v>
      </c>
      <c r="E8" s="223">
        <v>5</v>
      </c>
      <c r="F8" s="221">
        <v>0</v>
      </c>
      <c r="G8" s="222">
        <v>1</v>
      </c>
      <c r="H8" s="221">
        <v>5</v>
      </c>
      <c r="I8" s="222">
        <v>5</v>
      </c>
      <c r="J8" s="221">
        <v>3</v>
      </c>
      <c r="K8" s="222">
        <v>3</v>
      </c>
      <c r="L8" s="222">
        <v>2</v>
      </c>
      <c r="M8" s="221">
        <v>5</v>
      </c>
      <c r="N8" s="111">
        <v>5</v>
      </c>
      <c r="O8" s="249">
        <f t="shared" si="0"/>
        <v>34</v>
      </c>
      <c r="P8" s="111"/>
    </row>
    <row r="9" spans="1:16" x14ac:dyDescent="0.25">
      <c r="A9" s="111">
        <v>5</v>
      </c>
      <c r="B9" s="37" t="s">
        <v>171</v>
      </c>
      <c r="C9" s="260" t="s">
        <v>70</v>
      </c>
      <c r="D9" s="111" t="s">
        <v>250</v>
      </c>
      <c r="E9" s="223">
        <v>5</v>
      </c>
      <c r="F9" s="221">
        <v>5</v>
      </c>
      <c r="G9" s="222">
        <v>1</v>
      </c>
      <c r="H9" s="221">
        <v>3</v>
      </c>
      <c r="I9" s="222">
        <v>5</v>
      </c>
      <c r="J9" s="221">
        <v>2</v>
      </c>
      <c r="K9" s="222">
        <v>4</v>
      </c>
      <c r="L9" s="222">
        <v>3</v>
      </c>
      <c r="M9" s="221">
        <v>3</v>
      </c>
      <c r="N9" s="111">
        <v>2</v>
      </c>
      <c r="O9" s="249">
        <f t="shared" ref="O9:O74" si="1">SUM(E9:N9)</f>
        <v>33</v>
      </c>
      <c r="P9" s="111"/>
    </row>
    <row r="10" spans="1:16" x14ac:dyDescent="0.25">
      <c r="A10" s="111">
        <v>6</v>
      </c>
      <c r="B10" s="37" t="s">
        <v>168</v>
      </c>
      <c r="C10" s="260" t="s">
        <v>10</v>
      </c>
      <c r="D10" s="111" t="s">
        <v>250</v>
      </c>
      <c r="E10" s="223">
        <v>5</v>
      </c>
      <c r="F10" s="221">
        <v>0</v>
      </c>
      <c r="G10" s="222">
        <v>1</v>
      </c>
      <c r="H10" s="221">
        <v>5</v>
      </c>
      <c r="I10" s="222">
        <v>4</v>
      </c>
      <c r="J10" s="221">
        <v>2</v>
      </c>
      <c r="K10" s="222">
        <v>4</v>
      </c>
      <c r="L10" s="222">
        <v>2</v>
      </c>
      <c r="M10" s="221">
        <v>5</v>
      </c>
      <c r="N10" s="111">
        <v>5</v>
      </c>
      <c r="O10" s="249">
        <f t="shared" si="1"/>
        <v>33</v>
      </c>
      <c r="P10" s="111"/>
    </row>
    <row r="11" spans="1:16" x14ac:dyDescent="0.25">
      <c r="A11" s="111">
        <v>7</v>
      </c>
      <c r="B11" s="37" t="s">
        <v>216</v>
      </c>
      <c r="C11" s="260" t="s">
        <v>53</v>
      </c>
      <c r="D11" s="111" t="s">
        <v>250</v>
      </c>
      <c r="E11" s="223">
        <v>5</v>
      </c>
      <c r="F11" s="221">
        <v>0</v>
      </c>
      <c r="G11" s="222">
        <v>1</v>
      </c>
      <c r="H11" s="221">
        <v>5</v>
      </c>
      <c r="I11" s="222">
        <v>3</v>
      </c>
      <c r="J11" s="221">
        <v>4</v>
      </c>
      <c r="K11" s="222">
        <v>3</v>
      </c>
      <c r="L11" s="222">
        <v>2</v>
      </c>
      <c r="M11" s="221">
        <v>5</v>
      </c>
      <c r="N11" s="111">
        <v>5</v>
      </c>
      <c r="O11" s="249">
        <f t="shared" si="1"/>
        <v>33</v>
      </c>
      <c r="P11" s="111"/>
    </row>
    <row r="12" spans="1:16" x14ac:dyDescent="0.25">
      <c r="A12" s="111">
        <v>10</v>
      </c>
      <c r="B12" s="37" t="s">
        <v>170</v>
      </c>
      <c r="C12" s="260" t="s">
        <v>92</v>
      </c>
      <c r="D12" s="224" t="s">
        <v>250</v>
      </c>
      <c r="E12" s="226">
        <v>5</v>
      </c>
      <c r="F12" s="225">
        <v>0</v>
      </c>
      <c r="G12" s="111">
        <v>4</v>
      </c>
      <c r="H12" s="225">
        <v>2</v>
      </c>
      <c r="I12" s="111">
        <v>5</v>
      </c>
      <c r="J12" s="225">
        <v>3</v>
      </c>
      <c r="K12" s="111">
        <v>4</v>
      </c>
      <c r="L12" s="111">
        <v>2</v>
      </c>
      <c r="M12" s="225">
        <v>2</v>
      </c>
      <c r="N12" s="111">
        <v>5</v>
      </c>
      <c r="O12" s="249">
        <f t="shared" si="1"/>
        <v>32</v>
      </c>
      <c r="P12" s="111"/>
    </row>
    <row r="13" spans="1:16" x14ac:dyDescent="0.25">
      <c r="A13" s="111">
        <v>14</v>
      </c>
      <c r="B13" s="37" t="s">
        <v>217</v>
      </c>
      <c r="C13" s="260" t="s">
        <v>66</v>
      </c>
      <c r="D13" s="224" t="s">
        <v>250</v>
      </c>
      <c r="E13" s="223">
        <v>3</v>
      </c>
      <c r="F13" s="221">
        <v>5</v>
      </c>
      <c r="G13" s="222">
        <v>2</v>
      </c>
      <c r="H13" s="221">
        <v>4</v>
      </c>
      <c r="I13" s="222">
        <v>5</v>
      </c>
      <c r="J13" s="221">
        <v>2</v>
      </c>
      <c r="K13" s="222">
        <v>3</v>
      </c>
      <c r="L13" s="222">
        <v>3</v>
      </c>
      <c r="M13" s="221">
        <v>3</v>
      </c>
      <c r="N13" s="111">
        <v>2</v>
      </c>
      <c r="O13" s="249">
        <f t="shared" si="1"/>
        <v>32</v>
      </c>
      <c r="P13" s="111"/>
    </row>
    <row r="14" spans="1:16" x14ac:dyDescent="0.25">
      <c r="A14" s="111">
        <v>15</v>
      </c>
      <c r="B14" s="37" t="s">
        <v>172</v>
      </c>
      <c r="C14" s="260" t="s">
        <v>72</v>
      </c>
      <c r="D14" s="111" t="s">
        <v>250</v>
      </c>
      <c r="E14" s="223">
        <v>5</v>
      </c>
      <c r="F14" s="221">
        <v>5</v>
      </c>
      <c r="G14" s="222">
        <v>1</v>
      </c>
      <c r="H14" s="221">
        <v>3</v>
      </c>
      <c r="I14" s="222">
        <v>4</v>
      </c>
      <c r="J14" s="221">
        <v>2</v>
      </c>
      <c r="K14" s="222">
        <v>3</v>
      </c>
      <c r="L14" s="222">
        <v>3</v>
      </c>
      <c r="M14" s="221">
        <v>3</v>
      </c>
      <c r="N14" s="111">
        <v>2</v>
      </c>
      <c r="O14" s="249">
        <f t="shared" si="1"/>
        <v>31</v>
      </c>
      <c r="P14" s="111"/>
    </row>
    <row r="15" spans="1:16" x14ac:dyDescent="0.25">
      <c r="A15" s="111">
        <v>18</v>
      </c>
      <c r="B15" s="37" t="s">
        <v>216</v>
      </c>
      <c r="C15" s="260" t="s">
        <v>78</v>
      </c>
      <c r="D15" s="111" t="s">
        <v>250</v>
      </c>
      <c r="E15" s="223">
        <v>5</v>
      </c>
      <c r="F15" s="221">
        <v>0</v>
      </c>
      <c r="G15" s="222">
        <v>3</v>
      </c>
      <c r="H15" s="221">
        <v>3</v>
      </c>
      <c r="I15" s="222">
        <v>5</v>
      </c>
      <c r="J15" s="221">
        <v>2</v>
      </c>
      <c r="K15" s="222">
        <v>3</v>
      </c>
      <c r="L15" s="222">
        <v>2</v>
      </c>
      <c r="M15" s="221">
        <v>3</v>
      </c>
      <c r="N15" s="111">
        <v>5</v>
      </c>
      <c r="O15" s="249">
        <f t="shared" si="1"/>
        <v>31</v>
      </c>
      <c r="P15" s="111"/>
    </row>
    <row r="16" spans="1:16" x14ac:dyDescent="0.25">
      <c r="A16" s="111">
        <v>25</v>
      </c>
      <c r="B16" s="275" t="s">
        <v>170</v>
      </c>
      <c r="C16" s="260" t="s">
        <v>113</v>
      </c>
      <c r="D16" s="111" t="s">
        <v>250</v>
      </c>
      <c r="E16" s="223">
        <v>5</v>
      </c>
      <c r="F16" s="221">
        <v>0</v>
      </c>
      <c r="G16" s="222">
        <v>5</v>
      </c>
      <c r="H16" s="221">
        <v>1</v>
      </c>
      <c r="I16" s="222">
        <v>4</v>
      </c>
      <c r="J16" s="221">
        <v>2</v>
      </c>
      <c r="K16" s="222">
        <v>4</v>
      </c>
      <c r="L16" s="222">
        <v>2</v>
      </c>
      <c r="M16" s="221">
        <v>1</v>
      </c>
      <c r="N16" s="111">
        <v>5</v>
      </c>
      <c r="O16" s="249">
        <f t="shared" si="1"/>
        <v>29</v>
      </c>
      <c r="P16" s="111"/>
    </row>
    <row r="17" spans="1:16" x14ac:dyDescent="0.25">
      <c r="A17" s="111">
        <v>26</v>
      </c>
      <c r="B17" s="269" t="s">
        <v>170</v>
      </c>
      <c r="C17" s="270" t="s">
        <v>110</v>
      </c>
      <c r="D17" s="271" t="s">
        <v>250</v>
      </c>
      <c r="E17" s="272">
        <v>5</v>
      </c>
      <c r="F17" s="273">
        <v>0</v>
      </c>
      <c r="G17" s="274">
        <v>4</v>
      </c>
      <c r="H17" s="273">
        <v>2</v>
      </c>
      <c r="I17" s="274">
        <v>3</v>
      </c>
      <c r="J17" s="273">
        <v>2</v>
      </c>
      <c r="K17" s="274">
        <v>4</v>
      </c>
      <c r="L17" s="274">
        <v>2</v>
      </c>
      <c r="M17" s="221">
        <v>2</v>
      </c>
      <c r="N17" s="111">
        <v>5</v>
      </c>
      <c r="O17" s="249">
        <f t="shared" si="1"/>
        <v>29</v>
      </c>
      <c r="P17" s="111"/>
    </row>
    <row r="18" spans="1:16" x14ac:dyDescent="0.25">
      <c r="A18" s="111">
        <v>27</v>
      </c>
      <c r="B18" s="37" t="s">
        <v>175</v>
      </c>
      <c r="C18" s="260" t="s">
        <v>109</v>
      </c>
      <c r="D18" s="111" t="s">
        <v>250</v>
      </c>
      <c r="E18" s="223">
        <v>5</v>
      </c>
      <c r="F18" s="221">
        <v>0</v>
      </c>
      <c r="G18" s="222">
        <v>2</v>
      </c>
      <c r="H18" s="221">
        <v>2</v>
      </c>
      <c r="I18" s="222">
        <v>4</v>
      </c>
      <c r="J18" s="221">
        <v>4</v>
      </c>
      <c r="K18" s="222">
        <v>3</v>
      </c>
      <c r="L18" s="222">
        <v>2</v>
      </c>
      <c r="M18" s="221">
        <v>2</v>
      </c>
      <c r="N18" s="111">
        <v>5</v>
      </c>
      <c r="O18" s="249">
        <f t="shared" si="1"/>
        <v>29</v>
      </c>
      <c r="P18" s="111"/>
    </row>
    <row r="19" spans="1:16" x14ac:dyDescent="0.25">
      <c r="A19" s="111">
        <v>30</v>
      </c>
      <c r="B19" s="37" t="s">
        <v>170</v>
      </c>
      <c r="C19" s="103" t="s">
        <v>103</v>
      </c>
      <c r="D19" s="224" t="s">
        <v>250</v>
      </c>
      <c r="E19" s="223">
        <v>3</v>
      </c>
      <c r="F19" s="221">
        <v>0</v>
      </c>
      <c r="G19" s="222">
        <v>4</v>
      </c>
      <c r="H19" s="221">
        <v>2</v>
      </c>
      <c r="I19" s="222">
        <v>4</v>
      </c>
      <c r="J19" s="221">
        <v>2</v>
      </c>
      <c r="K19" s="222">
        <v>4</v>
      </c>
      <c r="L19" s="222">
        <v>2</v>
      </c>
      <c r="M19" s="221">
        <v>2</v>
      </c>
      <c r="N19" s="111">
        <v>5</v>
      </c>
      <c r="O19" s="249">
        <f t="shared" si="1"/>
        <v>28</v>
      </c>
      <c r="P19" s="111"/>
    </row>
    <row r="20" spans="1:16" x14ac:dyDescent="0.25">
      <c r="A20" s="111">
        <v>34</v>
      </c>
      <c r="B20" s="37" t="s">
        <v>325</v>
      </c>
      <c r="C20" s="103" t="s">
        <v>121</v>
      </c>
      <c r="D20" s="224" t="s">
        <v>250</v>
      </c>
      <c r="E20" s="223">
        <v>0</v>
      </c>
      <c r="F20" s="221">
        <v>5</v>
      </c>
      <c r="G20" s="222">
        <v>5</v>
      </c>
      <c r="H20" s="221">
        <v>1</v>
      </c>
      <c r="I20" s="222">
        <v>4</v>
      </c>
      <c r="J20" s="221">
        <v>2</v>
      </c>
      <c r="K20" s="222">
        <v>2</v>
      </c>
      <c r="L20" s="222">
        <v>2</v>
      </c>
      <c r="M20" s="221">
        <v>1</v>
      </c>
      <c r="N20" s="111">
        <v>5</v>
      </c>
      <c r="O20" s="249">
        <f t="shared" si="1"/>
        <v>27</v>
      </c>
      <c r="P20" s="111"/>
    </row>
    <row r="21" spans="1:16" x14ac:dyDescent="0.25">
      <c r="A21" s="111">
        <v>35</v>
      </c>
      <c r="B21" s="37" t="s">
        <v>326</v>
      </c>
      <c r="C21" s="103" t="s">
        <v>123</v>
      </c>
      <c r="D21" s="111" t="s">
        <v>250</v>
      </c>
      <c r="E21" s="223">
        <v>0</v>
      </c>
      <c r="F21" s="221">
        <v>5</v>
      </c>
      <c r="G21" s="222">
        <v>5</v>
      </c>
      <c r="H21" s="221">
        <v>1</v>
      </c>
      <c r="I21" s="222">
        <v>4</v>
      </c>
      <c r="J21" s="221">
        <v>2</v>
      </c>
      <c r="K21" s="222">
        <v>2</v>
      </c>
      <c r="L21" s="222">
        <v>2</v>
      </c>
      <c r="M21" s="221">
        <v>1</v>
      </c>
      <c r="N21" s="111">
        <v>5</v>
      </c>
      <c r="O21" s="249">
        <f t="shared" si="1"/>
        <v>27</v>
      </c>
      <c r="P21" s="111"/>
    </row>
    <row r="22" spans="1:16" x14ac:dyDescent="0.25">
      <c r="A22" s="111">
        <v>36</v>
      </c>
      <c r="B22" s="37" t="s">
        <v>310</v>
      </c>
      <c r="C22" s="103" t="s">
        <v>111</v>
      </c>
      <c r="D22" s="224" t="s">
        <v>250</v>
      </c>
      <c r="E22" s="223">
        <v>0</v>
      </c>
      <c r="F22" s="221">
        <v>0</v>
      </c>
      <c r="G22" s="222">
        <v>5</v>
      </c>
      <c r="H22" s="221">
        <v>2</v>
      </c>
      <c r="I22" s="222">
        <v>5</v>
      </c>
      <c r="J22" s="221">
        <v>4</v>
      </c>
      <c r="K22" s="222">
        <v>2</v>
      </c>
      <c r="L22" s="222">
        <v>2</v>
      </c>
      <c r="M22" s="221">
        <v>2</v>
      </c>
      <c r="N22" s="111">
        <v>5</v>
      </c>
      <c r="O22" s="249">
        <f t="shared" si="1"/>
        <v>27</v>
      </c>
      <c r="P22" s="111"/>
    </row>
    <row r="23" spans="1:16" x14ac:dyDescent="0.25">
      <c r="A23" s="111">
        <v>38</v>
      </c>
      <c r="B23" s="37" t="s">
        <v>173</v>
      </c>
      <c r="C23" s="103" t="s">
        <v>85</v>
      </c>
      <c r="D23" s="224" t="s">
        <v>250</v>
      </c>
      <c r="E23" s="223">
        <v>3</v>
      </c>
      <c r="F23" s="221">
        <v>0</v>
      </c>
      <c r="G23" s="222">
        <v>3</v>
      </c>
      <c r="H23" s="221">
        <v>2</v>
      </c>
      <c r="I23" s="222">
        <v>4</v>
      </c>
      <c r="J23" s="221">
        <v>2</v>
      </c>
      <c r="K23" s="222">
        <v>3</v>
      </c>
      <c r="L23" s="222">
        <v>2</v>
      </c>
      <c r="M23" s="221">
        <v>2</v>
      </c>
      <c r="N23" s="111">
        <v>5</v>
      </c>
      <c r="O23" s="249">
        <f t="shared" si="1"/>
        <v>26</v>
      </c>
      <c r="P23" s="111"/>
    </row>
    <row r="24" spans="1:16" x14ac:dyDescent="0.25">
      <c r="A24" s="111">
        <v>41</v>
      </c>
      <c r="B24" s="37" t="s">
        <v>324</v>
      </c>
      <c r="C24" s="103" t="s">
        <v>120</v>
      </c>
      <c r="D24" s="224" t="s">
        <v>250</v>
      </c>
      <c r="E24" s="223">
        <v>0</v>
      </c>
      <c r="F24" s="221">
        <v>5</v>
      </c>
      <c r="G24" s="222">
        <v>4</v>
      </c>
      <c r="H24" s="221">
        <v>1</v>
      </c>
      <c r="I24" s="222">
        <v>4</v>
      </c>
      <c r="J24" s="221">
        <v>2</v>
      </c>
      <c r="K24" s="222">
        <v>2</v>
      </c>
      <c r="L24" s="222">
        <v>2</v>
      </c>
      <c r="M24" s="221">
        <v>1</v>
      </c>
      <c r="N24" s="111">
        <v>5</v>
      </c>
      <c r="O24" s="249">
        <f t="shared" si="1"/>
        <v>26</v>
      </c>
      <c r="P24" s="111"/>
    </row>
    <row r="25" spans="1:16" x14ac:dyDescent="0.25">
      <c r="A25" s="111">
        <v>44</v>
      </c>
      <c r="B25" s="37" t="s">
        <v>284</v>
      </c>
      <c r="C25" s="103" t="s">
        <v>67</v>
      </c>
      <c r="D25" s="111" t="s">
        <v>250</v>
      </c>
      <c r="E25" s="223">
        <v>0</v>
      </c>
      <c r="F25" s="221">
        <v>0</v>
      </c>
      <c r="G25" s="222">
        <v>1</v>
      </c>
      <c r="H25" s="221">
        <v>4</v>
      </c>
      <c r="I25" s="222">
        <v>4</v>
      </c>
      <c r="J25" s="221">
        <v>4</v>
      </c>
      <c r="K25" s="222">
        <v>3</v>
      </c>
      <c r="L25" s="222">
        <v>2</v>
      </c>
      <c r="M25" s="221">
        <v>3</v>
      </c>
      <c r="N25" s="111">
        <v>5</v>
      </c>
      <c r="O25" s="249">
        <f t="shared" si="1"/>
        <v>26</v>
      </c>
      <c r="P25" s="111"/>
    </row>
    <row r="26" spans="1:16" x14ac:dyDescent="0.25">
      <c r="A26" s="111">
        <v>53</v>
      </c>
      <c r="B26" s="37" t="s">
        <v>318</v>
      </c>
      <c r="C26" s="103" t="s">
        <v>114</v>
      </c>
      <c r="D26" s="111" t="s">
        <v>250</v>
      </c>
      <c r="E26" s="223">
        <v>0</v>
      </c>
      <c r="F26" s="221">
        <v>5</v>
      </c>
      <c r="G26" s="222">
        <v>1</v>
      </c>
      <c r="H26" s="221">
        <v>2</v>
      </c>
      <c r="I26" s="222">
        <v>3</v>
      </c>
      <c r="J26" s="221">
        <v>3</v>
      </c>
      <c r="K26" s="222">
        <v>1</v>
      </c>
      <c r="L26" s="222">
        <v>1</v>
      </c>
      <c r="M26" s="221">
        <v>2</v>
      </c>
      <c r="N26" s="111">
        <v>5</v>
      </c>
      <c r="O26" s="249">
        <f t="shared" si="1"/>
        <v>23</v>
      </c>
      <c r="P26" s="111"/>
    </row>
    <row r="27" spans="1:16" x14ac:dyDescent="0.25">
      <c r="A27" s="111">
        <v>55</v>
      </c>
      <c r="B27" s="37" t="s">
        <v>306</v>
      </c>
      <c r="C27" s="103" t="s">
        <v>97</v>
      </c>
      <c r="D27" s="111" t="s">
        <v>250</v>
      </c>
      <c r="E27" s="223">
        <v>0</v>
      </c>
      <c r="F27" s="221">
        <v>0</v>
      </c>
      <c r="G27" s="222">
        <v>3</v>
      </c>
      <c r="H27" s="221">
        <v>2</v>
      </c>
      <c r="I27" s="222">
        <v>4</v>
      </c>
      <c r="J27" s="221">
        <v>3</v>
      </c>
      <c r="K27" s="222">
        <v>2</v>
      </c>
      <c r="L27" s="222">
        <v>2</v>
      </c>
      <c r="M27" s="221">
        <v>2</v>
      </c>
      <c r="N27" s="111">
        <v>5</v>
      </c>
      <c r="O27" s="221">
        <f t="shared" si="1"/>
        <v>23</v>
      </c>
      <c r="P27" s="111"/>
    </row>
    <row r="28" spans="1:16" x14ac:dyDescent="0.25">
      <c r="A28" s="111">
        <v>58</v>
      </c>
      <c r="B28" s="37" t="s">
        <v>251</v>
      </c>
      <c r="C28" s="103" t="s">
        <v>65</v>
      </c>
      <c r="D28" s="111" t="s">
        <v>250</v>
      </c>
      <c r="E28" s="223">
        <v>0</v>
      </c>
      <c r="F28" s="221">
        <v>0</v>
      </c>
      <c r="G28" s="222">
        <v>1</v>
      </c>
      <c r="H28" s="221">
        <v>4</v>
      </c>
      <c r="I28" s="222">
        <v>2</v>
      </c>
      <c r="J28" s="221">
        <v>4</v>
      </c>
      <c r="K28" s="222">
        <v>2</v>
      </c>
      <c r="L28" s="222">
        <v>2</v>
      </c>
      <c r="M28" s="221">
        <v>3</v>
      </c>
      <c r="N28" s="111">
        <v>5</v>
      </c>
      <c r="O28" s="221">
        <f t="shared" si="1"/>
        <v>23</v>
      </c>
      <c r="P28" s="111"/>
    </row>
    <row r="29" spans="1:16" x14ac:dyDescent="0.25">
      <c r="A29" s="111">
        <v>61</v>
      </c>
      <c r="B29" s="37" t="s">
        <v>301</v>
      </c>
      <c r="C29" s="103" t="s">
        <v>95</v>
      </c>
      <c r="D29" s="111" t="s">
        <v>250</v>
      </c>
      <c r="E29" s="223">
        <v>0</v>
      </c>
      <c r="F29" s="221">
        <v>0</v>
      </c>
      <c r="G29" s="222">
        <v>3</v>
      </c>
      <c r="H29" s="221">
        <v>2</v>
      </c>
      <c r="I29" s="222">
        <v>4</v>
      </c>
      <c r="J29" s="221">
        <v>2</v>
      </c>
      <c r="K29" s="222">
        <v>2</v>
      </c>
      <c r="L29" s="222">
        <v>2</v>
      </c>
      <c r="M29" s="221">
        <v>2</v>
      </c>
      <c r="N29" s="111">
        <v>5</v>
      </c>
      <c r="O29" s="221">
        <f t="shared" si="1"/>
        <v>22</v>
      </c>
      <c r="P29" s="111"/>
    </row>
    <row r="30" spans="1:16" x14ac:dyDescent="0.25">
      <c r="A30" s="111">
        <v>63</v>
      </c>
      <c r="B30" s="37" t="s">
        <v>316</v>
      </c>
      <c r="C30" s="103" t="s">
        <v>5</v>
      </c>
      <c r="D30" s="111" t="s">
        <v>250</v>
      </c>
      <c r="E30" s="223">
        <v>0</v>
      </c>
      <c r="F30" s="221">
        <v>0</v>
      </c>
      <c r="G30" s="222">
        <v>2</v>
      </c>
      <c r="H30" s="221">
        <v>1</v>
      </c>
      <c r="I30" s="222">
        <v>4</v>
      </c>
      <c r="J30" s="221">
        <v>4</v>
      </c>
      <c r="K30" s="222">
        <v>2</v>
      </c>
      <c r="L30" s="222">
        <v>2</v>
      </c>
      <c r="M30" s="221">
        <v>1</v>
      </c>
      <c r="N30" s="111">
        <v>5</v>
      </c>
      <c r="O30" s="221">
        <f t="shared" si="1"/>
        <v>21</v>
      </c>
      <c r="P30" s="111"/>
    </row>
    <row r="31" spans="1:16" x14ac:dyDescent="0.25">
      <c r="A31" s="111">
        <v>66</v>
      </c>
      <c r="B31" s="37" t="s">
        <v>309</v>
      </c>
      <c r="C31" s="103" t="s">
        <v>100</v>
      </c>
      <c r="D31" s="111" t="s">
        <v>250</v>
      </c>
      <c r="E31" s="223">
        <v>0</v>
      </c>
      <c r="F31" s="221">
        <v>0</v>
      </c>
      <c r="G31" s="222">
        <v>3</v>
      </c>
      <c r="H31" s="221">
        <v>2</v>
      </c>
      <c r="I31" s="222">
        <v>2</v>
      </c>
      <c r="J31" s="221">
        <v>2</v>
      </c>
      <c r="K31" s="222">
        <v>2</v>
      </c>
      <c r="L31" s="222">
        <v>2</v>
      </c>
      <c r="M31" s="221">
        <v>2</v>
      </c>
      <c r="N31" s="111">
        <v>5</v>
      </c>
      <c r="O31" s="221">
        <f t="shared" si="1"/>
        <v>20</v>
      </c>
      <c r="P31" s="111"/>
    </row>
    <row r="32" spans="1:16" s="3" customFormat="1" x14ac:dyDescent="0.25">
      <c r="A32" s="211">
        <v>67</v>
      </c>
      <c r="B32" s="42" t="s">
        <v>301</v>
      </c>
      <c r="C32" s="116" t="s">
        <v>98</v>
      </c>
      <c r="D32" s="211" t="s">
        <v>250</v>
      </c>
      <c r="E32" s="268">
        <v>0</v>
      </c>
      <c r="F32" s="249">
        <v>0</v>
      </c>
      <c r="G32" s="211">
        <v>2</v>
      </c>
      <c r="H32" s="249">
        <v>2</v>
      </c>
      <c r="I32" s="211">
        <v>4</v>
      </c>
      <c r="J32" s="249">
        <v>4</v>
      </c>
      <c r="K32" s="211">
        <v>2</v>
      </c>
      <c r="L32" s="211">
        <v>2</v>
      </c>
      <c r="M32" s="249">
        <v>2</v>
      </c>
      <c r="N32" s="211">
        <v>2</v>
      </c>
      <c r="O32" s="249">
        <f t="shared" si="1"/>
        <v>20</v>
      </c>
      <c r="P32" s="211"/>
    </row>
    <row r="33" spans="1:16" x14ac:dyDescent="0.25">
      <c r="A33" s="111"/>
      <c r="B33" s="253" t="s">
        <v>169</v>
      </c>
      <c r="C33" s="254" t="s">
        <v>130</v>
      </c>
      <c r="D33" s="255" t="s">
        <v>250</v>
      </c>
      <c r="E33" s="256">
        <v>5</v>
      </c>
      <c r="F33" s="257">
        <v>0</v>
      </c>
      <c r="G33" s="255">
        <v>1</v>
      </c>
      <c r="H33" s="257">
        <v>4</v>
      </c>
      <c r="I33" s="255">
        <v>0</v>
      </c>
      <c r="J33" s="257">
        <v>0</v>
      </c>
      <c r="K33" s="255">
        <v>5</v>
      </c>
      <c r="L33" s="255">
        <v>3</v>
      </c>
      <c r="M33" s="257">
        <v>3</v>
      </c>
      <c r="N33" s="255">
        <v>2</v>
      </c>
      <c r="O33" s="257">
        <f t="shared" si="1"/>
        <v>23</v>
      </c>
      <c r="P33" s="111"/>
    </row>
    <row r="34" spans="1:16" x14ac:dyDescent="0.25">
      <c r="A34" s="111"/>
      <c r="B34" s="253" t="s">
        <v>170</v>
      </c>
      <c r="C34" s="254" t="s">
        <v>68</v>
      </c>
      <c r="D34" s="255" t="s">
        <v>250</v>
      </c>
      <c r="E34" s="256">
        <v>5</v>
      </c>
      <c r="F34" s="257">
        <v>0</v>
      </c>
      <c r="G34" s="255">
        <v>1</v>
      </c>
      <c r="H34" s="257">
        <v>3</v>
      </c>
      <c r="I34" s="255">
        <v>0</v>
      </c>
      <c r="J34" s="257">
        <v>0</v>
      </c>
      <c r="K34" s="255">
        <v>4</v>
      </c>
      <c r="L34" s="255">
        <v>2</v>
      </c>
      <c r="M34" s="257">
        <v>3</v>
      </c>
      <c r="N34" s="255">
        <v>5</v>
      </c>
      <c r="O34" s="257">
        <f t="shared" si="1"/>
        <v>23</v>
      </c>
      <c r="P34" s="111"/>
    </row>
    <row r="35" spans="1:16" x14ac:dyDescent="0.25">
      <c r="A35" s="111"/>
      <c r="B35" s="253" t="s">
        <v>170</v>
      </c>
      <c r="C35" s="254" t="s">
        <v>96</v>
      </c>
      <c r="D35" s="255" t="s">
        <v>250</v>
      </c>
      <c r="E35" s="256">
        <v>5</v>
      </c>
      <c r="F35" s="257">
        <v>0</v>
      </c>
      <c r="G35" s="255">
        <v>1</v>
      </c>
      <c r="H35" s="257">
        <v>2</v>
      </c>
      <c r="I35" s="255">
        <v>0</v>
      </c>
      <c r="J35" s="257">
        <v>0</v>
      </c>
      <c r="K35" s="255">
        <v>4</v>
      </c>
      <c r="L35" s="255">
        <v>2</v>
      </c>
      <c r="M35" s="257">
        <v>2</v>
      </c>
      <c r="N35" s="255">
        <v>5</v>
      </c>
      <c r="O35" s="257">
        <f t="shared" si="1"/>
        <v>21</v>
      </c>
      <c r="P35" s="111"/>
    </row>
    <row r="36" spans="1:16" x14ac:dyDescent="0.25">
      <c r="A36" s="111"/>
      <c r="B36" s="253" t="s">
        <v>173</v>
      </c>
      <c r="C36" s="254" t="s">
        <v>77</v>
      </c>
      <c r="D36" s="258" t="s">
        <v>250</v>
      </c>
      <c r="E36" s="256">
        <v>3</v>
      </c>
      <c r="F36" s="257">
        <v>0</v>
      </c>
      <c r="G36" s="255">
        <v>1</v>
      </c>
      <c r="H36" s="257">
        <v>3</v>
      </c>
      <c r="I36" s="255">
        <v>0</v>
      </c>
      <c r="J36" s="257">
        <v>0</v>
      </c>
      <c r="K36" s="255">
        <v>3</v>
      </c>
      <c r="L36" s="255">
        <v>2</v>
      </c>
      <c r="M36" s="257">
        <v>3</v>
      </c>
      <c r="N36" s="255">
        <v>5</v>
      </c>
      <c r="O36" s="257">
        <f t="shared" si="1"/>
        <v>20</v>
      </c>
      <c r="P36" s="111"/>
    </row>
    <row r="37" spans="1:16" ht="18" customHeight="1" x14ac:dyDescent="0.25">
      <c r="A37" s="111"/>
      <c r="B37" s="253" t="s">
        <v>251</v>
      </c>
      <c r="C37" s="254" t="s">
        <v>45</v>
      </c>
      <c r="D37" s="258" t="s">
        <v>250</v>
      </c>
      <c r="E37" s="256">
        <v>0</v>
      </c>
      <c r="F37" s="257">
        <v>0</v>
      </c>
      <c r="G37" s="255">
        <v>1</v>
      </c>
      <c r="H37" s="257">
        <v>5</v>
      </c>
      <c r="I37" s="255">
        <v>0</v>
      </c>
      <c r="J37" s="257">
        <v>0</v>
      </c>
      <c r="K37" s="255">
        <v>2</v>
      </c>
      <c r="L37" s="255">
        <v>2</v>
      </c>
      <c r="M37" s="257">
        <v>5</v>
      </c>
      <c r="N37" s="255">
        <v>5</v>
      </c>
      <c r="O37" s="257">
        <f t="shared" si="1"/>
        <v>20</v>
      </c>
      <c r="P37" s="111"/>
    </row>
    <row r="38" spans="1:16" x14ac:dyDescent="0.25">
      <c r="A38" s="111"/>
      <c r="B38" s="279" t="s">
        <v>169</v>
      </c>
      <c r="C38" s="254" t="s">
        <v>122</v>
      </c>
      <c r="D38" s="255" t="s">
        <v>250</v>
      </c>
      <c r="E38" s="256">
        <v>5</v>
      </c>
      <c r="F38" s="257">
        <v>0</v>
      </c>
      <c r="G38" s="255">
        <v>1</v>
      </c>
      <c r="H38" s="257">
        <v>2</v>
      </c>
      <c r="I38" s="255">
        <v>0</v>
      </c>
      <c r="J38" s="257">
        <v>0</v>
      </c>
      <c r="K38" s="255">
        <v>5</v>
      </c>
      <c r="L38" s="255">
        <v>3</v>
      </c>
      <c r="M38" s="257">
        <v>1</v>
      </c>
      <c r="N38" s="255">
        <v>2</v>
      </c>
      <c r="O38" s="257">
        <f t="shared" si="1"/>
        <v>19</v>
      </c>
      <c r="P38" s="111"/>
    </row>
    <row r="39" spans="1:16" x14ac:dyDescent="0.25">
      <c r="A39" s="111"/>
      <c r="B39" s="279" t="s">
        <v>304</v>
      </c>
      <c r="C39" s="254" t="s">
        <v>104</v>
      </c>
      <c r="D39" s="255" t="s">
        <v>250</v>
      </c>
      <c r="E39" s="256">
        <v>0</v>
      </c>
      <c r="F39" s="257">
        <v>0</v>
      </c>
      <c r="G39" s="255">
        <v>1</v>
      </c>
      <c r="H39" s="257">
        <v>2</v>
      </c>
      <c r="I39" s="255">
        <v>0</v>
      </c>
      <c r="J39" s="257">
        <v>0</v>
      </c>
      <c r="K39" s="255">
        <v>2</v>
      </c>
      <c r="L39" s="255">
        <v>2</v>
      </c>
      <c r="M39" s="257">
        <v>2</v>
      </c>
      <c r="N39" s="255">
        <v>5</v>
      </c>
      <c r="O39" s="257">
        <f t="shared" si="1"/>
        <v>14</v>
      </c>
      <c r="P39" s="111"/>
    </row>
    <row r="40" spans="1:16" x14ac:dyDescent="0.25">
      <c r="A40" s="111"/>
      <c r="B40" s="276" t="s">
        <v>317</v>
      </c>
      <c r="C40" s="277" t="s">
        <v>115</v>
      </c>
      <c r="D40" s="278" t="s">
        <v>250</v>
      </c>
      <c r="E40" s="256">
        <v>0</v>
      </c>
      <c r="F40" s="257">
        <v>0</v>
      </c>
      <c r="G40" s="255">
        <v>1</v>
      </c>
      <c r="H40" s="257">
        <v>3</v>
      </c>
      <c r="I40" s="255">
        <v>0</v>
      </c>
      <c r="J40" s="257">
        <v>0</v>
      </c>
      <c r="K40" s="255">
        <v>1</v>
      </c>
      <c r="L40" s="255">
        <v>1</v>
      </c>
      <c r="M40" s="257">
        <v>2</v>
      </c>
      <c r="N40" s="255">
        <v>5</v>
      </c>
      <c r="O40" s="257">
        <f t="shared" si="1"/>
        <v>13</v>
      </c>
      <c r="P40" s="111"/>
    </row>
    <row r="41" spans="1:16" ht="15.75" x14ac:dyDescent="0.25">
      <c r="A41" s="553" t="s">
        <v>364</v>
      </c>
      <c r="B41" s="554"/>
      <c r="C41" s="554"/>
      <c r="D41" s="555"/>
      <c r="E41" s="547"/>
      <c r="F41" s="548"/>
      <c r="G41" s="548"/>
      <c r="H41" s="548"/>
      <c r="I41" s="548"/>
      <c r="J41" s="548"/>
      <c r="K41" s="548"/>
      <c r="L41" s="548"/>
      <c r="M41" s="548"/>
      <c r="N41" s="548"/>
      <c r="O41" s="549"/>
      <c r="P41" s="111"/>
    </row>
    <row r="42" spans="1:16" x14ac:dyDescent="0.25">
      <c r="A42" s="111">
        <v>8</v>
      </c>
      <c r="B42" s="37" t="s">
        <v>181</v>
      </c>
      <c r="C42" s="260" t="s">
        <v>79</v>
      </c>
      <c r="D42" s="111" t="s">
        <v>265</v>
      </c>
      <c r="E42" s="223">
        <v>5</v>
      </c>
      <c r="F42" s="221">
        <v>5</v>
      </c>
      <c r="G42" s="222">
        <v>1</v>
      </c>
      <c r="H42" s="221">
        <v>3</v>
      </c>
      <c r="I42" s="222">
        <v>4</v>
      </c>
      <c r="J42" s="221">
        <v>2</v>
      </c>
      <c r="K42" s="222">
        <v>4</v>
      </c>
      <c r="L42" s="222">
        <v>3</v>
      </c>
      <c r="M42" s="221">
        <v>3</v>
      </c>
      <c r="N42" s="111">
        <v>2</v>
      </c>
      <c r="O42" s="249">
        <f t="shared" ref="O42:O47" si="2">SUM(E42:N42)</f>
        <v>32</v>
      </c>
      <c r="P42" s="111"/>
    </row>
    <row r="43" spans="1:16" x14ac:dyDescent="0.25">
      <c r="A43" s="111">
        <v>13</v>
      </c>
      <c r="B43" s="37" t="s">
        <v>183</v>
      </c>
      <c r="C43" s="260" t="s">
        <v>56</v>
      </c>
      <c r="D43" s="111" t="s">
        <v>265</v>
      </c>
      <c r="E43" s="226">
        <v>5</v>
      </c>
      <c r="F43" s="225">
        <v>0</v>
      </c>
      <c r="G43" s="111">
        <v>1</v>
      </c>
      <c r="H43" s="225">
        <v>5</v>
      </c>
      <c r="I43" s="111">
        <v>4</v>
      </c>
      <c r="J43" s="225">
        <v>3</v>
      </c>
      <c r="K43" s="111">
        <v>3</v>
      </c>
      <c r="L43" s="111">
        <v>2</v>
      </c>
      <c r="M43" s="225">
        <v>4</v>
      </c>
      <c r="N43" s="111">
        <v>5</v>
      </c>
      <c r="O43" s="249">
        <f t="shared" si="2"/>
        <v>32</v>
      </c>
      <c r="P43" s="111"/>
    </row>
    <row r="44" spans="1:16" x14ac:dyDescent="0.25">
      <c r="A44" s="111">
        <v>16</v>
      </c>
      <c r="B44" s="37" t="s">
        <v>182</v>
      </c>
      <c r="C44" s="260" t="s">
        <v>93</v>
      </c>
      <c r="D44" s="111" t="s">
        <v>265</v>
      </c>
      <c r="E44" s="223">
        <v>5</v>
      </c>
      <c r="F44" s="221">
        <v>0</v>
      </c>
      <c r="G44" s="222">
        <v>5</v>
      </c>
      <c r="H44" s="221">
        <v>2</v>
      </c>
      <c r="I44" s="222">
        <v>5</v>
      </c>
      <c r="J44" s="221">
        <v>2</v>
      </c>
      <c r="K44" s="222">
        <v>3</v>
      </c>
      <c r="L44" s="222">
        <v>2</v>
      </c>
      <c r="M44" s="221">
        <v>2</v>
      </c>
      <c r="N44" s="111">
        <v>5</v>
      </c>
      <c r="O44" s="249">
        <f t="shared" si="2"/>
        <v>31</v>
      </c>
      <c r="P44" s="111"/>
    </row>
    <row r="45" spans="1:16" x14ac:dyDescent="0.25">
      <c r="A45" s="111">
        <v>23</v>
      </c>
      <c r="B45" s="37" t="s">
        <v>183</v>
      </c>
      <c r="C45" s="260" t="s">
        <v>126</v>
      </c>
      <c r="D45" s="111" t="s">
        <v>265</v>
      </c>
      <c r="E45" s="223">
        <v>3</v>
      </c>
      <c r="F45" s="221">
        <v>5</v>
      </c>
      <c r="G45" s="222">
        <v>1</v>
      </c>
      <c r="H45" s="221">
        <v>1</v>
      </c>
      <c r="I45" s="222">
        <v>5</v>
      </c>
      <c r="J45" s="221">
        <v>4</v>
      </c>
      <c r="K45" s="222">
        <v>3</v>
      </c>
      <c r="L45" s="222">
        <v>2</v>
      </c>
      <c r="M45" s="221">
        <v>1</v>
      </c>
      <c r="N45" s="111">
        <v>5</v>
      </c>
      <c r="O45" s="249">
        <f t="shared" si="2"/>
        <v>30</v>
      </c>
      <c r="P45" s="111"/>
    </row>
    <row r="46" spans="1:16" x14ac:dyDescent="0.25">
      <c r="A46" s="111">
        <v>31</v>
      </c>
      <c r="B46" s="37" t="s">
        <v>179</v>
      </c>
      <c r="C46" s="103" t="s">
        <v>60</v>
      </c>
      <c r="D46" s="224" t="s">
        <v>265</v>
      </c>
      <c r="E46" s="223">
        <v>3</v>
      </c>
      <c r="F46" s="221">
        <v>0</v>
      </c>
      <c r="G46" s="222">
        <v>2</v>
      </c>
      <c r="H46" s="221">
        <v>4</v>
      </c>
      <c r="I46" s="222">
        <v>4</v>
      </c>
      <c r="J46" s="221">
        <v>2</v>
      </c>
      <c r="K46" s="222">
        <v>3</v>
      </c>
      <c r="L46" s="222">
        <v>3</v>
      </c>
      <c r="M46" s="221">
        <v>4</v>
      </c>
      <c r="N46" s="111">
        <v>3</v>
      </c>
      <c r="O46" s="249">
        <f t="shared" si="2"/>
        <v>28</v>
      </c>
      <c r="P46" s="111"/>
    </row>
    <row r="47" spans="1:16" ht="15.75" customHeight="1" x14ac:dyDescent="0.25">
      <c r="A47" s="111">
        <v>32</v>
      </c>
      <c r="B47" s="37" t="s">
        <v>328</v>
      </c>
      <c r="C47" s="103" t="s">
        <v>125</v>
      </c>
      <c r="D47" s="111" t="s">
        <v>265</v>
      </c>
      <c r="E47" s="223">
        <v>0</v>
      </c>
      <c r="F47" s="221">
        <v>5</v>
      </c>
      <c r="G47" s="222">
        <v>4</v>
      </c>
      <c r="H47" s="221">
        <v>2</v>
      </c>
      <c r="I47" s="222">
        <v>4</v>
      </c>
      <c r="J47" s="221">
        <v>2</v>
      </c>
      <c r="K47" s="222">
        <v>2</v>
      </c>
      <c r="L47" s="222">
        <v>2</v>
      </c>
      <c r="M47" s="221">
        <v>2</v>
      </c>
      <c r="N47" s="111">
        <v>5</v>
      </c>
      <c r="O47" s="249">
        <f t="shared" si="2"/>
        <v>28</v>
      </c>
      <c r="P47" s="111"/>
    </row>
    <row r="48" spans="1:16" x14ac:dyDescent="0.25">
      <c r="A48" s="111">
        <v>47</v>
      </c>
      <c r="B48" s="37" t="s">
        <v>295</v>
      </c>
      <c r="C48" s="103" t="s">
        <v>80</v>
      </c>
      <c r="D48" s="111" t="s">
        <v>265</v>
      </c>
      <c r="E48" s="223">
        <v>0</v>
      </c>
      <c r="F48" s="221">
        <v>0</v>
      </c>
      <c r="G48" s="222">
        <v>3</v>
      </c>
      <c r="H48" s="221">
        <v>3</v>
      </c>
      <c r="I48" s="222">
        <v>5</v>
      </c>
      <c r="J48" s="221">
        <v>2</v>
      </c>
      <c r="K48" s="222">
        <v>2</v>
      </c>
      <c r="L48" s="222">
        <v>2</v>
      </c>
      <c r="M48" s="221">
        <v>3</v>
      </c>
      <c r="N48" s="111">
        <v>5</v>
      </c>
      <c r="O48" s="249">
        <f t="shared" ref="O48:O64" si="3">SUM(E48:N48)</f>
        <v>25</v>
      </c>
      <c r="P48" s="111"/>
    </row>
    <row r="49" spans="1:16" x14ac:dyDescent="0.25">
      <c r="A49" s="111">
        <v>48</v>
      </c>
      <c r="B49" s="37" t="s">
        <v>294</v>
      </c>
      <c r="C49" s="103" t="s">
        <v>76</v>
      </c>
      <c r="D49" s="111" t="s">
        <v>265</v>
      </c>
      <c r="E49" s="223">
        <v>0</v>
      </c>
      <c r="F49" s="221">
        <v>0</v>
      </c>
      <c r="G49" s="222">
        <v>2</v>
      </c>
      <c r="H49" s="221">
        <v>3</v>
      </c>
      <c r="I49" s="222">
        <v>5</v>
      </c>
      <c r="J49" s="221">
        <v>3</v>
      </c>
      <c r="K49" s="222">
        <v>2</v>
      </c>
      <c r="L49" s="222">
        <v>2</v>
      </c>
      <c r="M49" s="221">
        <v>3</v>
      </c>
      <c r="N49" s="111">
        <v>5</v>
      </c>
      <c r="O49" s="249">
        <f t="shared" si="3"/>
        <v>25</v>
      </c>
      <c r="P49" s="111"/>
    </row>
    <row r="50" spans="1:16" x14ac:dyDescent="0.25">
      <c r="A50" s="111">
        <v>49</v>
      </c>
      <c r="B50" s="37" t="s">
        <v>286</v>
      </c>
      <c r="C50" s="103" t="s">
        <v>71</v>
      </c>
      <c r="D50" s="224" t="s">
        <v>265</v>
      </c>
      <c r="E50" s="223">
        <v>0</v>
      </c>
      <c r="F50" s="221">
        <v>0</v>
      </c>
      <c r="G50" s="222">
        <v>2</v>
      </c>
      <c r="H50" s="221">
        <v>3</v>
      </c>
      <c r="I50" s="222">
        <v>5</v>
      </c>
      <c r="J50" s="221">
        <v>3</v>
      </c>
      <c r="K50" s="222">
        <v>2</v>
      </c>
      <c r="L50" s="222">
        <v>2</v>
      </c>
      <c r="M50" s="221">
        <v>3</v>
      </c>
      <c r="N50" s="111">
        <v>5</v>
      </c>
      <c r="O50" s="249">
        <f t="shared" si="3"/>
        <v>25</v>
      </c>
      <c r="P50" s="111"/>
    </row>
    <row r="51" spans="1:16" x14ac:dyDescent="0.25">
      <c r="A51" s="111">
        <v>51</v>
      </c>
      <c r="B51" s="37" t="s">
        <v>327</v>
      </c>
      <c r="C51" s="103" t="s">
        <v>124</v>
      </c>
      <c r="D51" s="111" t="s">
        <v>265</v>
      </c>
      <c r="E51" s="223">
        <v>0</v>
      </c>
      <c r="F51" s="221">
        <v>5</v>
      </c>
      <c r="G51" s="222">
        <v>3</v>
      </c>
      <c r="H51" s="221">
        <v>1</v>
      </c>
      <c r="I51" s="222">
        <v>4</v>
      </c>
      <c r="J51" s="221">
        <v>3</v>
      </c>
      <c r="K51" s="222">
        <v>1</v>
      </c>
      <c r="L51" s="222">
        <v>1</v>
      </c>
      <c r="M51" s="221">
        <v>1</v>
      </c>
      <c r="N51" s="111">
        <v>5</v>
      </c>
      <c r="O51" s="249">
        <f t="shared" si="3"/>
        <v>24</v>
      </c>
      <c r="P51" s="111"/>
    </row>
    <row r="52" spans="1:16" x14ac:dyDescent="0.25">
      <c r="A52" s="111">
        <v>57</v>
      </c>
      <c r="B52" s="37" t="s">
        <v>266</v>
      </c>
      <c r="C52" s="103" t="s">
        <v>51</v>
      </c>
      <c r="D52" s="111" t="s">
        <v>265</v>
      </c>
      <c r="E52" s="223">
        <v>0</v>
      </c>
      <c r="F52" s="221">
        <v>0</v>
      </c>
      <c r="G52" s="222">
        <v>1</v>
      </c>
      <c r="H52" s="221">
        <v>5</v>
      </c>
      <c r="I52" s="222">
        <v>1</v>
      </c>
      <c r="J52" s="221">
        <v>2</v>
      </c>
      <c r="K52" s="222">
        <v>2</v>
      </c>
      <c r="L52" s="222">
        <v>2</v>
      </c>
      <c r="M52" s="221">
        <v>5</v>
      </c>
      <c r="N52" s="111">
        <v>5</v>
      </c>
      <c r="O52" s="221">
        <f t="shared" si="3"/>
        <v>23</v>
      </c>
      <c r="P52" s="111"/>
    </row>
    <row r="53" spans="1:16" x14ac:dyDescent="0.25">
      <c r="A53" s="111">
        <v>68</v>
      </c>
      <c r="B53" s="37" t="s">
        <v>329</v>
      </c>
      <c r="C53" s="103" t="s">
        <v>127</v>
      </c>
      <c r="D53" s="111" t="s">
        <v>265</v>
      </c>
      <c r="E53" s="223">
        <v>0</v>
      </c>
      <c r="F53" s="221">
        <v>0</v>
      </c>
      <c r="G53" s="222">
        <v>2</v>
      </c>
      <c r="H53" s="221">
        <v>1</v>
      </c>
      <c r="I53" s="222">
        <v>4</v>
      </c>
      <c r="J53" s="221">
        <v>4</v>
      </c>
      <c r="K53" s="222">
        <v>1</v>
      </c>
      <c r="L53" s="222">
        <v>1</v>
      </c>
      <c r="M53" s="221">
        <v>1</v>
      </c>
      <c r="N53" s="111">
        <v>5</v>
      </c>
      <c r="O53" s="221">
        <f t="shared" si="3"/>
        <v>19</v>
      </c>
      <c r="P53" s="111"/>
    </row>
    <row r="54" spans="1:16" x14ac:dyDescent="0.25">
      <c r="A54" s="111"/>
      <c r="B54" s="253" t="s">
        <v>180</v>
      </c>
      <c r="C54" s="254" t="s">
        <v>69</v>
      </c>
      <c r="D54" s="255" t="s">
        <v>265</v>
      </c>
      <c r="E54" s="256">
        <v>5</v>
      </c>
      <c r="F54" s="257">
        <v>0</v>
      </c>
      <c r="G54" s="255">
        <v>1</v>
      </c>
      <c r="H54" s="257">
        <v>4</v>
      </c>
      <c r="I54" s="255">
        <v>0</v>
      </c>
      <c r="J54" s="257">
        <v>0</v>
      </c>
      <c r="K54" s="255">
        <v>5</v>
      </c>
      <c r="L54" s="255">
        <v>4</v>
      </c>
      <c r="M54" s="257">
        <v>3</v>
      </c>
      <c r="N54" s="255">
        <v>1</v>
      </c>
      <c r="O54" s="257">
        <f t="shared" si="3"/>
        <v>23</v>
      </c>
      <c r="P54" s="111"/>
    </row>
    <row r="55" spans="1:16" x14ac:dyDescent="0.25">
      <c r="A55" s="111"/>
      <c r="B55" s="253" t="s">
        <v>307</v>
      </c>
      <c r="C55" s="254" t="s">
        <v>101</v>
      </c>
      <c r="D55" s="259" t="s">
        <v>265</v>
      </c>
      <c r="E55" s="256">
        <v>3</v>
      </c>
      <c r="F55" s="257">
        <v>0</v>
      </c>
      <c r="G55" s="255">
        <v>1</v>
      </c>
      <c r="H55" s="257">
        <v>2</v>
      </c>
      <c r="I55" s="255">
        <v>0</v>
      </c>
      <c r="J55" s="257">
        <v>0</v>
      </c>
      <c r="K55" s="255">
        <v>3</v>
      </c>
      <c r="L55" s="255">
        <v>2</v>
      </c>
      <c r="M55" s="257">
        <v>2</v>
      </c>
      <c r="N55" s="255">
        <v>5</v>
      </c>
      <c r="O55" s="257">
        <f t="shared" si="3"/>
        <v>18</v>
      </c>
      <c r="P55" s="111"/>
    </row>
    <row r="56" spans="1:16" x14ac:dyDescent="0.25">
      <c r="A56" s="111"/>
      <c r="B56" s="253" t="s">
        <v>294</v>
      </c>
      <c r="C56" s="254" t="s">
        <v>83</v>
      </c>
      <c r="D56" s="255" t="s">
        <v>265</v>
      </c>
      <c r="E56" s="256">
        <v>0</v>
      </c>
      <c r="F56" s="257">
        <v>0</v>
      </c>
      <c r="G56" s="255">
        <v>1</v>
      </c>
      <c r="H56" s="257">
        <v>2</v>
      </c>
      <c r="I56" s="255">
        <v>0</v>
      </c>
      <c r="J56" s="257">
        <v>0</v>
      </c>
      <c r="K56" s="255">
        <v>2</v>
      </c>
      <c r="L56" s="255">
        <v>2</v>
      </c>
      <c r="M56" s="257">
        <v>2</v>
      </c>
      <c r="N56" s="255">
        <v>5</v>
      </c>
      <c r="O56" s="257">
        <f t="shared" si="3"/>
        <v>14</v>
      </c>
      <c r="P56" s="111"/>
    </row>
    <row r="57" spans="1:16" x14ac:dyDescent="0.25">
      <c r="A57" s="111"/>
      <c r="B57" s="253" t="s">
        <v>266</v>
      </c>
      <c r="C57" s="254" t="s">
        <v>99</v>
      </c>
      <c r="D57" s="255" t="s">
        <v>265</v>
      </c>
      <c r="E57" s="256">
        <v>0</v>
      </c>
      <c r="F57" s="257">
        <v>0</v>
      </c>
      <c r="G57" s="255">
        <v>1</v>
      </c>
      <c r="H57" s="257">
        <v>2</v>
      </c>
      <c r="I57" s="255">
        <v>0</v>
      </c>
      <c r="J57" s="257">
        <v>0</v>
      </c>
      <c r="K57" s="255">
        <v>2</v>
      </c>
      <c r="L57" s="255">
        <v>2</v>
      </c>
      <c r="M57" s="257">
        <v>2</v>
      </c>
      <c r="N57" s="255">
        <v>5</v>
      </c>
      <c r="O57" s="257">
        <f t="shared" si="3"/>
        <v>14</v>
      </c>
      <c r="P57" s="111"/>
    </row>
    <row r="58" spans="1:16" x14ac:dyDescent="0.25">
      <c r="A58" s="111"/>
      <c r="B58" s="253" t="s">
        <v>294</v>
      </c>
      <c r="C58" s="254" t="s">
        <v>91</v>
      </c>
      <c r="D58" s="255" t="s">
        <v>265</v>
      </c>
      <c r="E58" s="256">
        <v>0</v>
      </c>
      <c r="F58" s="257">
        <v>0</v>
      </c>
      <c r="G58" s="255">
        <v>1</v>
      </c>
      <c r="H58" s="257">
        <v>2</v>
      </c>
      <c r="I58" s="255">
        <v>0</v>
      </c>
      <c r="J58" s="257">
        <v>0</v>
      </c>
      <c r="K58" s="255">
        <v>2</v>
      </c>
      <c r="L58" s="255">
        <v>2</v>
      </c>
      <c r="M58" s="257">
        <v>2</v>
      </c>
      <c r="N58" s="255">
        <v>5</v>
      </c>
      <c r="O58" s="257">
        <f t="shared" si="3"/>
        <v>14</v>
      </c>
      <c r="P58" s="111"/>
    </row>
    <row r="59" spans="1:16" ht="15.75" x14ac:dyDescent="0.25">
      <c r="A59" s="553" t="s">
        <v>365</v>
      </c>
      <c r="B59" s="554"/>
      <c r="C59" s="554"/>
      <c r="D59" s="555"/>
      <c r="E59" s="547"/>
      <c r="F59" s="548"/>
      <c r="G59" s="548"/>
      <c r="H59" s="548"/>
      <c r="I59" s="548"/>
      <c r="J59" s="548"/>
      <c r="K59" s="548"/>
      <c r="L59" s="548"/>
      <c r="M59" s="548"/>
      <c r="N59" s="548"/>
      <c r="O59" s="549"/>
      <c r="P59" s="111"/>
    </row>
    <row r="60" spans="1:16" x14ac:dyDescent="0.25">
      <c r="A60" s="111">
        <v>4</v>
      </c>
      <c r="B60" s="37" t="s">
        <v>178</v>
      </c>
      <c r="C60" s="260" t="s">
        <v>63</v>
      </c>
      <c r="D60" s="111" t="s">
        <v>255</v>
      </c>
      <c r="E60" s="223">
        <v>5</v>
      </c>
      <c r="F60" s="221">
        <v>0</v>
      </c>
      <c r="G60" s="222">
        <v>1</v>
      </c>
      <c r="H60" s="221">
        <v>4</v>
      </c>
      <c r="I60" s="222">
        <v>5</v>
      </c>
      <c r="J60" s="221">
        <v>5</v>
      </c>
      <c r="K60" s="222">
        <v>5</v>
      </c>
      <c r="L60" s="222">
        <v>3</v>
      </c>
      <c r="M60" s="221">
        <v>4</v>
      </c>
      <c r="N60" s="111">
        <v>2</v>
      </c>
      <c r="O60" s="249">
        <f t="shared" si="3"/>
        <v>34</v>
      </c>
      <c r="P60" s="111"/>
    </row>
    <row r="61" spans="1:16" x14ac:dyDescent="0.25">
      <c r="A61" s="111">
        <v>11</v>
      </c>
      <c r="B61" s="37" t="s">
        <v>178</v>
      </c>
      <c r="C61" s="260" t="s">
        <v>48</v>
      </c>
      <c r="D61" s="111" t="s">
        <v>255</v>
      </c>
      <c r="E61" s="223">
        <v>5</v>
      </c>
      <c r="F61" s="221">
        <v>0</v>
      </c>
      <c r="G61" s="222">
        <v>2</v>
      </c>
      <c r="H61" s="221">
        <v>5</v>
      </c>
      <c r="I61" s="222">
        <v>4</v>
      </c>
      <c r="J61" s="221">
        <v>1</v>
      </c>
      <c r="K61" s="222">
        <v>5</v>
      </c>
      <c r="L61" s="222">
        <v>3</v>
      </c>
      <c r="M61" s="221">
        <v>5</v>
      </c>
      <c r="N61" s="111">
        <v>2</v>
      </c>
      <c r="O61" s="249">
        <f t="shared" si="3"/>
        <v>32</v>
      </c>
      <c r="P61" s="111"/>
    </row>
    <row r="62" spans="1:16" x14ac:dyDescent="0.25">
      <c r="A62" s="111">
        <v>17</v>
      </c>
      <c r="B62" s="37" t="s">
        <v>222</v>
      </c>
      <c r="C62" s="260" t="s">
        <v>49</v>
      </c>
      <c r="D62" s="111" t="s">
        <v>255</v>
      </c>
      <c r="E62" s="223">
        <v>5</v>
      </c>
      <c r="F62" s="221">
        <v>0</v>
      </c>
      <c r="G62" s="211">
        <v>3</v>
      </c>
      <c r="H62" s="249">
        <v>5</v>
      </c>
      <c r="I62" s="222">
        <v>2</v>
      </c>
      <c r="J62" s="221">
        <v>1</v>
      </c>
      <c r="K62" s="222">
        <v>5</v>
      </c>
      <c r="L62" s="222">
        <v>4</v>
      </c>
      <c r="M62" s="221">
        <v>5</v>
      </c>
      <c r="N62" s="111">
        <v>1</v>
      </c>
      <c r="O62" s="249">
        <f t="shared" si="3"/>
        <v>31</v>
      </c>
      <c r="P62" s="111"/>
    </row>
    <row r="63" spans="1:16" x14ac:dyDescent="0.25">
      <c r="A63" s="111">
        <v>21</v>
      </c>
      <c r="B63" s="37" t="s">
        <v>184</v>
      </c>
      <c r="C63" s="260" t="s">
        <v>61</v>
      </c>
      <c r="D63" s="111" t="s">
        <v>255</v>
      </c>
      <c r="E63" s="223">
        <v>5</v>
      </c>
      <c r="F63" s="221">
        <v>0</v>
      </c>
      <c r="G63" s="222">
        <v>1</v>
      </c>
      <c r="H63" s="221">
        <v>4</v>
      </c>
      <c r="I63" s="222">
        <v>2</v>
      </c>
      <c r="J63" s="221">
        <v>2</v>
      </c>
      <c r="K63" s="222">
        <v>5</v>
      </c>
      <c r="L63" s="222">
        <v>2</v>
      </c>
      <c r="M63" s="221">
        <v>4</v>
      </c>
      <c r="N63" s="111">
        <v>5</v>
      </c>
      <c r="O63" s="249">
        <f t="shared" si="3"/>
        <v>30</v>
      </c>
      <c r="P63" s="111"/>
    </row>
    <row r="64" spans="1:16" x14ac:dyDescent="0.25">
      <c r="A64" s="111">
        <v>24</v>
      </c>
      <c r="B64" s="37" t="s">
        <v>293</v>
      </c>
      <c r="C64" s="260" t="s">
        <v>74</v>
      </c>
      <c r="D64" s="111" t="s">
        <v>255</v>
      </c>
      <c r="E64" s="223">
        <v>0</v>
      </c>
      <c r="F64" s="221">
        <v>3</v>
      </c>
      <c r="G64" s="222">
        <v>4</v>
      </c>
      <c r="H64" s="221">
        <v>3</v>
      </c>
      <c r="I64" s="222">
        <v>5</v>
      </c>
      <c r="J64" s="221">
        <v>2</v>
      </c>
      <c r="K64" s="222">
        <v>3</v>
      </c>
      <c r="L64" s="222">
        <v>2</v>
      </c>
      <c r="M64" s="221">
        <v>3</v>
      </c>
      <c r="N64" s="111">
        <v>5</v>
      </c>
      <c r="O64" s="249">
        <f t="shared" si="3"/>
        <v>30</v>
      </c>
      <c r="P64" s="111"/>
    </row>
    <row r="65" spans="1:16" x14ac:dyDescent="0.25">
      <c r="A65" s="111">
        <v>33</v>
      </c>
      <c r="B65" s="37" t="s">
        <v>178</v>
      </c>
      <c r="C65" s="103" t="s">
        <v>15</v>
      </c>
      <c r="D65" s="224" t="s">
        <v>255</v>
      </c>
      <c r="E65" s="223">
        <v>3</v>
      </c>
      <c r="F65" s="221">
        <v>0</v>
      </c>
      <c r="G65" s="222">
        <v>2</v>
      </c>
      <c r="H65" s="221">
        <v>2</v>
      </c>
      <c r="I65" s="222">
        <v>4</v>
      </c>
      <c r="J65" s="221">
        <v>4</v>
      </c>
      <c r="K65" s="222">
        <v>5</v>
      </c>
      <c r="L65" s="222">
        <v>3</v>
      </c>
      <c r="M65" s="221">
        <v>2</v>
      </c>
      <c r="N65" s="111">
        <v>2</v>
      </c>
      <c r="O65" s="249">
        <f t="shared" ref="O65:O68" si="4">SUM(E65:N65)</f>
        <v>27</v>
      </c>
      <c r="P65" s="111"/>
    </row>
    <row r="66" spans="1:16" x14ac:dyDescent="0.25">
      <c r="A66" s="111">
        <v>42</v>
      </c>
      <c r="B66" s="37" t="s">
        <v>293</v>
      </c>
      <c r="C66" s="103" t="s">
        <v>81</v>
      </c>
      <c r="D66" s="111" t="s">
        <v>255</v>
      </c>
      <c r="E66" s="223">
        <v>0</v>
      </c>
      <c r="F66" s="221">
        <v>0</v>
      </c>
      <c r="G66" s="222">
        <v>5</v>
      </c>
      <c r="H66" s="221">
        <v>2</v>
      </c>
      <c r="I66" s="222">
        <v>5</v>
      </c>
      <c r="J66" s="221">
        <v>2</v>
      </c>
      <c r="K66" s="222">
        <v>3</v>
      </c>
      <c r="L66" s="222">
        <v>2</v>
      </c>
      <c r="M66" s="221">
        <v>2</v>
      </c>
      <c r="N66" s="111">
        <v>5</v>
      </c>
      <c r="O66" s="249">
        <f>SUM(E66:N66)</f>
        <v>26</v>
      </c>
      <c r="P66" s="111"/>
    </row>
    <row r="67" spans="1:16" x14ac:dyDescent="0.25">
      <c r="A67" s="111">
        <v>43</v>
      </c>
      <c r="B67" s="37" t="s">
        <v>322</v>
      </c>
      <c r="C67" s="103" t="s">
        <v>118</v>
      </c>
      <c r="D67" s="224" t="s">
        <v>255</v>
      </c>
      <c r="E67" s="223">
        <v>0</v>
      </c>
      <c r="F67" s="221">
        <v>0</v>
      </c>
      <c r="G67" s="222">
        <v>4</v>
      </c>
      <c r="H67" s="221">
        <v>2</v>
      </c>
      <c r="I67" s="222">
        <v>5</v>
      </c>
      <c r="J67" s="221">
        <v>4</v>
      </c>
      <c r="K67" s="222">
        <v>3</v>
      </c>
      <c r="L67" s="222">
        <v>2</v>
      </c>
      <c r="M67" s="221">
        <v>1</v>
      </c>
      <c r="N67" s="111">
        <v>5</v>
      </c>
      <c r="O67" s="249">
        <f>SUM(E67:N67)</f>
        <v>26</v>
      </c>
      <c r="P67" s="111"/>
    </row>
    <row r="68" spans="1:16" x14ac:dyDescent="0.25">
      <c r="A68" s="111">
        <v>46</v>
      </c>
      <c r="B68" s="37" t="s">
        <v>311</v>
      </c>
      <c r="C68" s="103" t="s">
        <v>105</v>
      </c>
      <c r="D68" s="111" t="s">
        <v>255</v>
      </c>
      <c r="E68" s="226">
        <v>0</v>
      </c>
      <c r="F68" s="225">
        <v>0</v>
      </c>
      <c r="G68" s="111">
        <v>5</v>
      </c>
      <c r="H68" s="225">
        <v>2</v>
      </c>
      <c r="I68" s="111">
        <v>4</v>
      </c>
      <c r="J68" s="225">
        <v>2</v>
      </c>
      <c r="K68" s="111">
        <v>3</v>
      </c>
      <c r="L68" s="111">
        <v>2</v>
      </c>
      <c r="M68" s="225">
        <v>2</v>
      </c>
      <c r="N68" s="111">
        <v>5</v>
      </c>
      <c r="O68" s="249">
        <f t="shared" si="4"/>
        <v>25</v>
      </c>
      <c r="P68" s="111"/>
    </row>
    <row r="69" spans="1:16" x14ac:dyDescent="0.25">
      <c r="A69" s="111"/>
      <c r="B69" s="253" t="s">
        <v>223</v>
      </c>
      <c r="C69" s="254" t="s">
        <v>112</v>
      </c>
      <c r="D69" s="255" t="s">
        <v>255</v>
      </c>
      <c r="E69" s="256">
        <v>5</v>
      </c>
      <c r="F69" s="257">
        <v>0</v>
      </c>
      <c r="G69" s="255">
        <v>1</v>
      </c>
      <c r="H69" s="257">
        <v>2</v>
      </c>
      <c r="I69" s="255">
        <v>0</v>
      </c>
      <c r="J69" s="257">
        <v>0</v>
      </c>
      <c r="K69" s="255">
        <v>5</v>
      </c>
      <c r="L69" s="255">
        <v>3</v>
      </c>
      <c r="M69" s="257">
        <v>2</v>
      </c>
      <c r="N69" s="255">
        <v>2</v>
      </c>
      <c r="O69" s="257">
        <f>SUM(E69:N69)</f>
        <v>20</v>
      </c>
      <c r="P69" s="111"/>
    </row>
    <row r="70" spans="1:16" x14ac:dyDescent="0.25">
      <c r="A70" s="111"/>
      <c r="B70" s="253" t="s">
        <v>299</v>
      </c>
      <c r="C70" s="254" t="s">
        <v>86</v>
      </c>
      <c r="D70" s="258" t="s">
        <v>255</v>
      </c>
      <c r="E70" s="256">
        <v>3</v>
      </c>
      <c r="F70" s="257">
        <v>0</v>
      </c>
      <c r="G70" s="255">
        <v>1</v>
      </c>
      <c r="H70" s="257">
        <v>3</v>
      </c>
      <c r="I70" s="255">
        <v>0</v>
      </c>
      <c r="J70" s="257">
        <v>0</v>
      </c>
      <c r="K70" s="255">
        <v>5</v>
      </c>
      <c r="L70" s="255">
        <v>4</v>
      </c>
      <c r="M70" s="257">
        <v>2</v>
      </c>
      <c r="N70" s="255">
        <v>1</v>
      </c>
      <c r="O70" s="257">
        <f t="shared" ref="O70:O72" si="5">SUM(E70:N70)</f>
        <v>19</v>
      </c>
      <c r="P70" s="111"/>
    </row>
    <row r="71" spans="1:16" x14ac:dyDescent="0.25">
      <c r="A71" s="111"/>
      <c r="B71" s="253" t="s">
        <v>274</v>
      </c>
      <c r="C71" s="254" t="s">
        <v>57</v>
      </c>
      <c r="D71" s="255" t="s">
        <v>255</v>
      </c>
      <c r="E71" s="256">
        <v>0</v>
      </c>
      <c r="F71" s="257">
        <v>0</v>
      </c>
      <c r="G71" s="255">
        <v>1</v>
      </c>
      <c r="H71" s="257">
        <v>4</v>
      </c>
      <c r="I71" s="255">
        <v>0</v>
      </c>
      <c r="J71" s="257">
        <v>0</v>
      </c>
      <c r="K71" s="255">
        <v>3</v>
      </c>
      <c r="L71" s="255">
        <v>2</v>
      </c>
      <c r="M71" s="257">
        <v>4</v>
      </c>
      <c r="N71" s="255">
        <v>5</v>
      </c>
      <c r="O71" s="257">
        <f t="shared" si="5"/>
        <v>19</v>
      </c>
      <c r="P71" s="111"/>
    </row>
    <row r="72" spans="1:16" x14ac:dyDescent="0.25">
      <c r="A72" s="111"/>
      <c r="B72" s="253" t="s">
        <v>274</v>
      </c>
      <c r="C72" s="254" t="s">
        <v>90</v>
      </c>
      <c r="D72" s="255" t="s">
        <v>255</v>
      </c>
      <c r="E72" s="256">
        <v>0</v>
      </c>
      <c r="F72" s="257">
        <v>0</v>
      </c>
      <c r="G72" s="255">
        <v>1</v>
      </c>
      <c r="H72" s="257">
        <v>2</v>
      </c>
      <c r="I72" s="255">
        <v>0</v>
      </c>
      <c r="J72" s="257">
        <v>0</v>
      </c>
      <c r="K72" s="255">
        <v>3</v>
      </c>
      <c r="L72" s="255">
        <v>2</v>
      </c>
      <c r="M72" s="257">
        <v>2</v>
      </c>
      <c r="N72" s="255">
        <v>5</v>
      </c>
      <c r="O72" s="257">
        <f t="shared" si="5"/>
        <v>15</v>
      </c>
      <c r="P72" s="111"/>
    </row>
    <row r="73" spans="1:16" ht="15.75" x14ac:dyDescent="0.25">
      <c r="A73" s="553" t="s">
        <v>372</v>
      </c>
      <c r="B73" s="554"/>
      <c r="C73" s="554"/>
      <c r="D73" s="555"/>
      <c r="E73" s="547"/>
      <c r="F73" s="548"/>
      <c r="G73" s="548"/>
      <c r="H73" s="548"/>
      <c r="I73" s="548"/>
      <c r="J73" s="548"/>
      <c r="K73" s="548"/>
      <c r="L73" s="548"/>
      <c r="M73" s="548"/>
      <c r="N73" s="548"/>
      <c r="O73" s="549"/>
      <c r="P73" s="111"/>
    </row>
    <row r="74" spans="1:16" x14ac:dyDescent="0.25">
      <c r="A74" s="111">
        <v>12</v>
      </c>
      <c r="B74" s="37" t="s">
        <v>220</v>
      </c>
      <c r="C74" s="260" t="s">
        <v>46</v>
      </c>
      <c r="D74" s="111" t="s">
        <v>244</v>
      </c>
      <c r="E74" s="226">
        <v>5</v>
      </c>
      <c r="F74" s="225">
        <v>0</v>
      </c>
      <c r="G74" s="111">
        <v>1</v>
      </c>
      <c r="H74" s="225">
        <v>5</v>
      </c>
      <c r="I74" s="111">
        <v>5</v>
      </c>
      <c r="J74" s="225">
        <v>2</v>
      </c>
      <c r="K74" s="111">
        <v>4</v>
      </c>
      <c r="L74" s="111">
        <v>3</v>
      </c>
      <c r="M74" s="225">
        <v>5</v>
      </c>
      <c r="N74" s="111">
        <v>2</v>
      </c>
      <c r="O74" s="249">
        <f t="shared" si="1"/>
        <v>32</v>
      </c>
      <c r="P74" s="111"/>
    </row>
    <row r="75" spans="1:16" x14ac:dyDescent="0.25">
      <c r="A75" s="111">
        <v>19</v>
      </c>
      <c r="B75" s="37" t="s">
        <v>218</v>
      </c>
      <c r="C75" s="260" t="s">
        <v>94</v>
      </c>
      <c r="D75" s="224" t="s">
        <v>244</v>
      </c>
      <c r="E75" s="223">
        <v>3</v>
      </c>
      <c r="F75" s="221">
        <v>5</v>
      </c>
      <c r="G75" s="222">
        <v>2</v>
      </c>
      <c r="H75" s="221">
        <v>3</v>
      </c>
      <c r="I75" s="222">
        <v>4</v>
      </c>
      <c r="J75" s="221">
        <v>2</v>
      </c>
      <c r="K75" s="222">
        <v>4</v>
      </c>
      <c r="L75" s="222">
        <v>3</v>
      </c>
      <c r="M75" s="221">
        <v>3</v>
      </c>
      <c r="N75" s="111">
        <v>2</v>
      </c>
      <c r="O75" s="249">
        <f t="shared" si="0"/>
        <v>31</v>
      </c>
      <c r="P75" s="111"/>
    </row>
    <row r="76" spans="1:16" x14ac:dyDescent="0.25">
      <c r="A76" s="111">
        <v>20</v>
      </c>
      <c r="B76" s="37" t="s">
        <v>219</v>
      </c>
      <c r="C76" s="260" t="s">
        <v>44</v>
      </c>
      <c r="D76" s="111" t="s">
        <v>244</v>
      </c>
      <c r="E76" s="226">
        <v>5</v>
      </c>
      <c r="F76" s="225">
        <v>0</v>
      </c>
      <c r="G76" s="111">
        <v>1</v>
      </c>
      <c r="H76" s="225">
        <v>5</v>
      </c>
      <c r="I76" s="111">
        <v>4</v>
      </c>
      <c r="J76" s="225">
        <v>1</v>
      </c>
      <c r="K76" s="111">
        <v>4</v>
      </c>
      <c r="L76" s="111">
        <v>3</v>
      </c>
      <c r="M76" s="225">
        <v>5</v>
      </c>
      <c r="N76" s="111">
        <v>2</v>
      </c>
      <c r="O76" s="249">
        <f t="shared" si="0"/>
        <v>30</v>
      </c>
      <c r="P76" s="111"/>
    </row>
    <row r="77" spans="1:16" x14ac:dyDescent="0.25">
      <c r="A77" s="111">
        <v>22</v>
      </c>
      <c r="B77" s="37" t="s">
        <v>174</v>
      </c>
      <c r="C77" s="260" t="s">
        <v>102</v>
      </c>
      <c r="D77" s="224" t="s">
        <v>244</v>
      </c>
      <c r="E77" s="223">
        <v>3</v>
      </c>
      <c r="F77" s="221">
        <v>5</v>
      </c>
      <c r="G77" s="222">
        <v>1</v>
      </c>
      <c r="H77" s="221">
        <v>2</v>
      </c>
      <c r="I77" s="222">
        <v>5</v>
      </c>
      <c r="J77" s="221">
        <v>3</v>
      </c>
      <c r="K77" s="222">
        <v>4</v>
      </c>
      <c r="L77" s="222">
        <v>3</v>
      </c>
      <c r="M77" s="221">
        <v>2</v>
      </c>
      <c r="N77" s="111">
        <v>2</v>
      </c>
      <c r="O77" s="249">
        <f t="shared" si="0"/>
        <v>30</v>
      </c>
      <c r="P77" s="111"/>
    </row>
    <row r="78" spans="1:16" x14ac:dyDescent="0.25">
      <c r="A78" s="111">
        <v>28</v>
      </c>
      <c r="B78" s="37" t="s">
        <v>221</v>
      </c>
      <c r="C78" s="103" t="s">
        <v>50</v>
      </c>
      <c r="D78" s="111" t="s">
        <v>244</v>
      </c>
      <c r="E78" s="223">
        <v>5</v>
      </c>
      <c r="F78" s="221">
        <v>0</v>
      </c>
      <c r="G78" s="222">
        <v>1</v>
      </c>
      <c r="H78" s="221">
        <v>5</v>
      </c>
      <c r="I78" s="222">
        <v>2</v>
      </c>
      <c r="J78" s="221">
        <v>2</v>
      </c>
      <c r="K78" s="222">
        <v>3</v>
      </c>
      <c r="L78" s="222">
        <v>3</v>
      </c>
      <c r="M78" s="221">
        <v>5</v>
      </c>
      <c r="N78" s="111">
        <v>2</v>
      </c>
      <c r="O78" s="249">
        <f>SUM(E78:N78)</f>
        <v>28</v>
      </c>
      <c r="P78" s="111"/>
    </row>
    <row r="79" spans="1:16" x14ac:dyDescent="0.25">
      <c r="A79" s="111">
        <v>39</v>
      </c>
      <c r="B79" s="37" t="s">
        <v>219</v>
      </c>
      <c r="C79" s="103" t="s">
        <v>75</v>
      </c>
      <c r="D79" s="224" t="s">
        <v>244</v>
      </c>
      <c r="E79" s="223">
        <v>3</v>
      </c>
      <c r="F79" s="221">
        <v>0</v>
      </c>
      <c r="G79" s="222">
        <v>1</v>
      </c>
      <c r="H79" s="221">
        <v>5</v>
      </c>
      <c r="I79" s="222">
        <v>2</v>
      </c>
      <c r="J79" s="221">
        <v>2</v>
      </c>
      <c r="K79" s="222">
        <v>4</v>
      </c>
      <c r="L79" s="222">
        <v>3</v>
      </c>
      <c r="M79" s="221">
        <v>4</v>
      </c>
      <c r="N79" s="111">
        <v>2</v>
      </c>
      <c r="O79" s="249">
        <f>SUM(E79:N79)</f>
        <v>26</v>
      </c>
      <c r="P79" s="111"/>
    </row>
    <row r="80" spans="1:16" x14ac:dyDescent="0.25">
      <c r="A80" s="111">
        <v>40</v>
      </c>
      <c r="B80" s="37" t="s">
        <v>219</v>
      </c>
      <c r="C80" s="103" t="s">
        <v>64</v>
      </c>
      <c r="D80" s="111" t="s">
        <v>244</v>
      </c>
      <c r="E80" s="223">
        <v>3</v>
      </c>
      <c r="F80" s="221">
        <v>0</v>
      </c>
      <c r="G80" s="222">
        <v>1</v>
      </c>
      <c r="H80" s="221">
        <v>4</v>
      </c>
      <c r="I80" s="222">
        <v>3</v>
      </c>
      <c r="J80" s="221">
        <v>2</v>
      </c>
      <c r="K80" s="222">
        <v>4</v>
      </c>
      <c r="L80" s="222">
        <v>3</v>
      </c>
      <c r="M80" s="221">
        <v>4</v>
      </c>
      <c r="N80" s="111">
        <v>2</v>
      </c>
      <c r="O80" s="249">
        <f>SUM(E80:N80)</f>
        <v>26</v>
      </c>
      <c r="P80" s="111"/>
    </row>
    <row r="81" spans="1:16" x14ac:dyDescent="0.25">
      <c r="A81" s="111">
        <v>52</v>
      </c>
      <c r="B81" s="37" t="s">
        <v>219</v>
      </c>
      <c r="C81" s="103" t="s">
        <v>87</v>
      </c>
      <c r="D81" s="224" t="s">
        <v>244</v>
      </c>
      <c r="E81" s="223">
        <v>3</v>
      </c>
      <c r="F81" s="221">
        <v>0</v>
      </c>
      <c r="G81" s="222">
        <v>2</v>
      </c>
      <c r="H81" s="221">
        <v>3</v>
      </c>
      <c r="I81" s="222">
        <v>2</v>
      </c>
      <c r="J81" s="221">
        <v>2</v>
      </c>
      <c r="K81" s="222">
        <v>4</v>
      </c>
      <c r="L81" s="222">
        <v>3</v>
      </c>
      <c r="M81" s="221">
        <v>2</v>
      </c>
      <c r="N81" s="111">
        <v>2</v>
      </c>
      <c r="O81" s="249">
        <f>SUM(E81:N81)</f>
        <v>23</v>
      </c>
      <c r="P81" s="111"/>
    </row>
    <row r="82" spans="1:16" ht="15.75" x14ac:dyDescent="0.25">
      <c r="A82" s="553" t="s">
        <v>366</v>
      </c>
      <c r="B82" s="554"/>
      <c r="C82" s="554"/>
      <c r="D82" s="555"/>
      <c r="E82" s="544"/>
      <c r="F82" s="545"/>
      <c r="G82" s="545"/>
      <c r="H82" s="545"/>
      <c r="I82" s="545"/>
      <c r="J82" s="545"/>
      <c r="K82" s="545"/>
      <c r="L82" s="545"/>
      <c r="M82" s="545"/>
      <c r="N82" s="545"/>
      <c r="O82" s="546"/>
      <c r="P82" s="111"/>
    </row>
    <row r="83" spans="1:16" x14ac:dyDescent="0.25">
      <c r="A83" s="111">
        <v>9</v>
      </c>
      <c r="B83" s="37" t="s">
        <v>226</v>
      </c>
      <c r="C83" s="260" t="s">
        <v>106</v>
      </c>
      <c r="D83" s="111" t="s">
        <v>270</v>
      </c>
      <c r="E83" s="223">
        <v>5</v>
      </c>
      <c r="F83" s="221">
        <v>0</v>
      </c>
      <c r="G83" s="222">
        <v>5</v>
      </c>
      <c r="H83" s="221">
        <v>2</v>
      </c>
      <c r="I83" s="222">
        <v>5</v>
      </c>
      <c r="J83" s="221">
        <v>3</v>
      </c>
      <c r="K83" s="222">
        <v>3</v>
      </c>
      <c r="L83" s="222">
        <v>2</v>
      </c>
      <c r="M83" s="221">
        <v>2</v>
      </c>
      <c r="N83" s="111">
        <v>5</v>
      </c>
      <c r="O83" s="249">
        <f>SUM(E83:N83)</f>
        <v>32</v>
      </c>
      <c r="P83" s="111"/>
    </row>
    <row r="84" spans="1:16" x14ac:dyDescent="0.25">
      <c r="A84" s="111">
        <v>29</v>
      </c>
      <c r="B84" s="37" t="s">
        <v>225</v>
      </c>
      <c r="C84" s="103" t="s">
        <v>8</v>
      </c>
      <c r="D84" s="111" t="s">
        <v>270</v>
      </c>
      <c r="E84" s="223">
        <v>5</v>
      </c>
      <c r="F84" s="221">
        <v>0</v>
      </c>
      <c r="G84" s="222">
        <v>1</v>
      </c>
      <c r="H84" s="221">
        <v>2</v>
      </c>
      <c r="I84" s="222">
        <v>4</v>
      </c>
      <c r="J84" s="221">
        <v>4</v>
      </c>
      <c r="K84" s="222">
        <v>3</v>
      </c>
      <c r="L84" s="222">
        <v>2</v>
      </c>
      <c r="M84" s="221">
        <v>2</v>
      </c>
      <c r="N84" s="111">
        <v>5</v>
      </c>
      <c r="O84" s="249">
        <f t="shared" si="0"/>
        <v>28</v>
      </c>
      <c r="P84" s="111"/>
    </row>
    <row r="85" spans="1:16" ht="14.25" customHeight="1" x14ac:dyDescent="0.25">
      <c r="A85" s="111">
        <v>37</v>
      </c>
      <c r="B85" s="37" t="s">
        <v>276</v>
      </c>
      <c r="C85" s="103" t="s">
        <v>59</v>
      </c>
      <c r="D85" s="224" t="s">
        <v>270</v>
      </c>
      <c r="E85" s="223">
        <v>0</v>
      </c>
      <c r="F85" s="221">
        <v>0</v>
      </c>
      <c r="G85" s="222">
        <v>1</v>
      </c>
      <c r="H85" s="221">
        <v>4</v>
      </c>
      <c r="I85" s="222">
        <v>4</v>
      </c>
      <c r="J85" s="221">
        <v>5</v>
      </c>
      <c r="K85" s="222">
        <v>2</v>
      </c>
      <c r="L85" s="222">
        <v>2</v>
      </c>
      <c r="M85" s="221">
        <v>4</v>
      </c>
      <c r="N85" s="111">
        <v>5</v>
      </c>
      <c r="O85" s="249">
        <f t="shared" ref="O85:O98" si="6">SUM(E85:N85)</f>
        <v>27</v>
      </c>
      <c r="P85" s="111"/>
    </row>
    <row r="86" spans="1:16" x14ac:dyDescent="0.25">
      <c r="A86" s="111">
        <v>45</v>
      </c>
      <c r="B86" s="37" t="s">
        <v>321</v>
      </c>
      <c r="C86" s="103" t="s">
        <v>116</v>
      </c>
      <c r="D86" s="111" t="s">
        <v>270</v>
      </c>
      <c r="E86" s="223">
        <v>0</v>
      </c>
      <c r="F86" s="221">
        <v>3</v>
      </c>
      <c r="G86" s="222">
        <v>5</v>
      </c>
      <c r="H86" s="221">
        <v>1</v>
      </c>
      <c r="I86" s="222">
        <v>4</v>
      </c>
      <c r="J86" s="221">
        <v>2</v>
      </c>
      <c r="K86" s="222">
        <v>2</v>
      </c>
      <c r="L86" s="222">
        <v>2</v>
      </c>
      <c r="M86" s="221">
        <v>1</v>
      </c>
      <c r="N86" s="111">
        <v>5</v>
      </c>
      <c r="O86" s="221">
        <f t="shared" si="6"/>
        <v>25</v>
      </c>
      <c r="P86" s="111"/>
    </row>
    <row r="87" spans="1:16" x14ac:dyDescent="0.25">
      <c r="A87" s="111">
        <v>50</v>
      </c>
      <c r="B87" s="37" t="s">
        <v>280</v>
      </c>
      <c r="C87" s="103" t="s">
        <v>62</v>
      </c>
      <c r="D87" s="111" t="s">
        <v>270</v>
      </c>
      <c r="E87" s="223">
        <v>0</v>
      </c>
      <c r="F87" s="221">
        <v>0</v>
      </c>
      <c r="G87" s="222">
        <v>1</v>
      </c>
      <c r="H87" s="221">
        <v>4</v>
      </c>
      <c r="I87" s="222">
        <v>3</v>
      </c>
      <c r="J87" s="221">
        <v>4</v>
      </c>
      <c r="K87" s="222">
        <v>2</v>
      </c>
      <c r="L87" s="222">
        <v>2</v>
      </c>
      <c r="M87" s="221">
        <v>4</v>
      </c>
      <c r="N87" s="111">
        <v>5</v>
      </c>
      <c r="O87" s="249">
        <f t="shared" si="6"/>
        <v>25</v>
      </c>
      <c r="P87" s="111"/>
    </row>
    <row r="88" spans="1:16" x14ac:dyDescent="0.25">
      <c r="A88" s="111">
        <v>54</v>
      </c>
      <c r="B88" s="37" t="s">
        <v>315</v>
      </c>
      <c r="C88" s="103" t="s">
        <v>108</v>
      </c>
      <c r="D88" s="111" t="s">
        <v>270</v>
      </c>
      <c r="E88" s="223">
        <v>0</v>
      </c>
      <c r="F88" s="221">
        <v>0</v>
      </c>
      <c r="G88" s="222">
        <v>4</v>
      </c>
      <c r="H88" s="221">
        <v>2</v>
      </c>
      <c r="I88" s="222">
        <v>4</v>
      </c>
      <c r="J88" s="221">
        <v>2</v>
      </c>
      <c r="K88" s="222">
        <v>2</v>
      </c>
      <c r="L88" s="222">
        <v>2</v>
      </c>
      <c r="M88" s="221">
        <v>2</v>
      </c>
      <c r="N88" s="111">
        <v>5</v>
      </c>
      <c r="O88" s="249">
        <f t="shared" si="6"/>
        <v>23</v>
      </c>
      <c r="P88" s="111"/>
    </row>
    <row r="89" spans="1:16" x14ac:dyDescent="0.25">
      <c r="A89" s="111">
        <v>56</v>
      </c>
      <c r="B89" s="37" t="s">
        <v>323</v>
      </c>
      <c r="C89" s="103" t="s">
        <v>119</v>
      </c>
      <c r="D89" s="111" t="s">
        <v>270</v>
      </c>
      <c r="E89" s="223">
        <v>0</v>
      </c>
      <c r="F89" s="221">
        <v>0</v>
      </c>
      <c r="G89" s="222">
        <v>2</v>
      </c>
      <c r="H89" s="221">
        <v>2</v>
      </c>
      <c r="I89" s="222">
        <v>4</v>
      </c>
      <c r="J89" s="221">
        <v>4</v>
      </c>
      <c r="K89" s="222">
        <v>2</v>
      </c>
      <c r="L89" s="222">
        <v>2</v>
      </c>
      <c r="M89" s="221">
        <v>2</v>
      </c>
      <c r="N89" s="111">
        <v>5</v>
      </c>
      <c r="O89" s="249">
        <f t="shared" si="6"/>
        <v>23</v>
      </c>
      <c r="P89" s="111"/>
    </row>
    <row r="90" spans="1:16" x14ac:dyDescent="0.25">
      <c r="A90" s="111">
        <v>59</v>
      </c>
      <c r="B90" s="37" t="s">
        <v>296</v>
      </c>
      <c r="C90" s="103" t="s">
        <v>82</v>
      </c>
      <c r="D90" s="111" t="s">
        <v>270</v>
      </c>
      <c r="E90" s="223">
        <v>0</v>
      </c>
      <c r="F90" s="221">
        <v>0</v>
      </c>
      <c r="G90" s="222">
        <v>1</v>
      </c>
      <c r="H90" s="221">
        <v>3</v>
      </c>
      <c r="I90" s="222">
        <v>4</v>
      </c>
      <c r="J90" s="221">
        <v>4</v>
      </c>
      <c r="K90" s="222">
        <v>2</v>
      </c>
      <c r="L90" s="222">
        <v>2</v>
      </c>
      <c r="M90" s="221">
        <v>2</v>
      </c>
      <c r="N90" s="111">
        <v>5</v>
      </c>
      <c r="O90" s="249">
        <f t="shared" si="6"/>
        <v>23</v>
      </c>
      <c r="P90" s="111"/>
    </row>
    <row r="91" spans="1:16" x14ac:dyDescent="0.25">
      <c r="A91" s="111">
        <v>60</v>
      </c>
      <c r="B91" s="37" t="s">
        <v>313</v>
      </c>
      <c r="C91" s="103" t="s">
        <v>107</v>
      </c>
      <c r="D91" s="111" t="s">
        <v>270</v>
      </c>
      <c r="E91" s="223">
        <v>0</v>
      </c>
      <c r="F91" s="221">
        <v>0</v>
      </c>
      <c r="G91" s="222">
        <v>5</v>
      </c>
      <c r="H91" s="221">
        <v>2</v>
      </c>
      <c r="I91" s="222">
        <v>2</v>
      </c>
      <c r="J91" s="221">
        <v>2</v>
      </c>
      <c r="K91" s="222">
        <v>2</v>
      </c>
      <c r="L91" s="222">
        <v>2</v>
      </c>
      <c r="M91" s="221">
        <v>2</v>
      </c>
      <c r="N91" s="111">
        <v>5</v>
      </c>
      <c r="O91" s="221">
        <f t="shared" si="6"/>
        <v>22</v>
      </c>
      <c r="P91" s="111"/>
    </row>
    <row r="92" spans="1:16" x14ac:dyDescent="0.25">
      <c r="A92" s="111">
        <v>62</v>
      </c>
      <c r="B92" s="37" t="s">
        <v>351</v>
      </c>
      <c r="C92" s="103" t="s">
        <v>14</v>
      </c>
      <c r="D92" s="224" t="s">
        <v>270</v>
      </c>
      <c r="E92" s="223">
        <v>0</v>
      </c>
      <c r="F92" s="221">
        <v>0</v>
      </c>
      <c r="G92" s="222">
        <v>3</v>
      </c>
      <c r="H92" s="221">
        <v>2</v>
      </c>
      <c r="I92" s="222">
        <v>3</v>
      </c>
      <c r="J92" s="221">
        <v>2</v>
      </c>
      <c r="K92" s="222">
        <v>3</v>
      </c>
      <c r="L92" s="222">
        <v>2</v>
      </c>
      <c r="M92" s="221">
        <v>2</v>
      </c>
      <c r="N92" s="111">
        <v>5</v>
      </c>
      <c r="O92" s="249">
        <f t="shared" si="6"/>
        <v>22</v>
      </c>
      <c r="P92" s="111"/>
    </row>
    <row r="93" spans="1:16" x14ac:dyDescent="0.25">
      <c r="A93" s="111">
        <v>64</v>
      </c>
      <c r="B93" s="37" t="s">
        <v>297</v>
      </c>
      <c r="C93" s="103" t="s">
        <v>89</v>
      </c>
      <c r="D93" s="111" t="s">
        <v>270</v>
      </c>
      <c r="E93" s="223">
        <v>0</v>
      </c>
      <c r="F93" s="221">
        <v>0</v>
      </c>
      <c r="G93" s="222">
        <v>1</v>
      </c>
      <c r="H93" s="221">
        <v>2</v>
      </c>
      <c r="I93" s="222">
        <v>5</v>
      </c>
      <c r="J93" s="221">
        <v>4</v>
      </c>
      <c r="K93" s="222">
        <v>1</v>
      </c>
      <c r="L93" s="222">
        <v>1</v>
      </c>
      <c r="M93" s="221">
        <v>2</v>
      </c>
      <c r="N93" s="111">
        <v>5</v>
      </c>
      <c r="O93" s="221">
        <f t="shared" si="6"/>
        <v>21</v>
      </c>
      <c r="P93" s="111"/>
    </row>
    <row r="94" spans="1:16" x14ac:dyDescent="0.25">
      <c r="A94" s="111">
        <v>65</v>
      </c>
      <c r="B94" s="37" t="s">
        <v>297</v>
      </c>
      <c r="C94" s="103" t="s">
        <v>117</v>
      </c>
      <c r="D94" s="224" t="s">
        <v>270</v>
      </c>
      <c r="E94" s="223">
        <v>0</v>
      </c>
      <c r="F94" s="221">
        <v>0</v>
      </c>
      <c r="G94" s="222">
        <v>5</v>
      </c>
      <c r="H94" s="221">
        <v>2</v>
      </c>
      <c r="I94" s="222">
        <v>3</v>
      </c>
      <c r="J94" s="221">
        <v>2</v>
      </c>
      <c r="K94" s="222">
        <v>1</v>
      </c>
      <c r="L94" s="222">
        <v>1</v>
      </c>
      <c r="M94" s="221">
        <v>1</v>
      </c>
      <c r="N94" s="111">
        <v>5</v>
      </c>
      <c r="O94" s="221">
        <f t="shared" si="6"/>
        <v>20</v>
      </c>
      <c r="P94" s="111"/>
    </row>
    <row r="95" spans="1:16" x14ac:dyDescent="0.25">
      <c r="A95" s="111">
        <v>69</v>
      </c>
      <c r="B95" s="37" t="s">
        <v>276</v>
      </c>
      <c r="C95" s="103" t="s">
        <v>88</v>
      </c>
      <c r="D95" s="224" t="s">
        <v>270</v>
      </c>
      <c r="E95" s="223">
        <v>0</v>
      </c>
      <c r="F95" s="221">
        <v>0</v>
      </c>
      <c r="G95" s="222">
        <v>1</v>
      </c>
      <c r="H95" s="221">
        <v>2</v>
      </c>
      <c r="I95" s="222">
        <v>2</v>
      </c>
      <c r="J95" s="221">
        <v>3</v>
      </c>
      <c r="K95" s="222">
        <v>2</v>
      </c>
      <c r="L95" s="222">
        <v>2</v>
      </c>
      <c r="M95" s="221">
        <v>2</v>
      </c>
      <c r="N95" s="111">
        <v>5</v>
      </c>
      <c r="O95" s="221">
        <f t="shared" si="6"/>
        <v>19</v>
      </c>
      <c r="P95" s="111"/>
    </row>
    <row r="96" spans="1:16" x14ac:dyDescent="0.25">
      <c r="A96" s="111"/>
      <c r="B96" s="253" t="s">
        <v>224</v>
      </c>
      <c r="C96" s="254" t="s">
        <v>54</v>
      </c>
      <c r="D96" s="255" t="s">
        <v>270</v>
      </c>
      <c r="E96" s="256">
        <v>5</v>
      </c>
      <c r="F96" s="257">
        <v>0</v>
      </c>
      <c r="G96" s="255">
        <v>1</v>
      </c>
      <c r="H96" s="257">
        <v>5</v>
      </c>
      <c r="I96" s="255">
        <v>0</v>
      </c>
      <c r="J96" s="257">
        <v>0</v>
      </c>
      <c r="K96" s="255">
        <v>3</v>
      </c>
      <c r="L96" s="255">
        <v>2</v>
      </c>
      <c r="M96" s="257">
        <v>4</v>
      </c>
      <c r="N96" s="255">
        <v>5</v>
      </c>
      <c r="O96" s="257">
        <f t="shared" si="6"/>
        <v>25</v>
      </c>
      <c r="P96" s="111"/>
    </row>
    <row r="97" spans="1:16" x14ac:dyDescent="0.25">
      <c r="A97" s="111"/>
      <c r="B97" s="253" t="s">
        <v>176</v>
      </c>
      <c r="C97" s="254" t="s">
        <v>58</v>
      </c>
      <c r="D97" s="255" t="s">
        <v>270</v>
      </c>
      <c r="E97" s="256">
        <v>5</v>
      </c>
      <c r="F97" s="257">
        <v>0</v>
      </c>
      <c r="G97" s="255">
        <v>1</v>
      </c>
      <c r="H97" s="257">
        <v>4</v>
      </c>
      <c r="I97" s="255">
        <v>0</v>
      </c>
      <c r="J97" s="257">
        <v>0</v>
      </c>
      <c r="K97" s="255">
        <v>3</v>
      </c>
      <c r="L97" s="255">
        <v>2</v>
      </c>
      <c r="M97" s="257">
        <v>4</v>
      </c>
      <c r="N97" s="255">
        <v>5</v>
      </c>
      <c r="O97" s="257">
        <f t="shared" si="6"/>
        <v>24</v>
      </c>
      <c r="P97" s="111"/>
    </row>
    <row r="98" spans="1:16" x14ac:dyDescent="0.25">
      <c r="A98" s="111"/>
      <c r="B98" s="253" t="s">
        <v>177</v>
      </c>
      <c r="C98" s="254" t="s">
        <v>84</v>
      </c>
      <c r="D98" s="255" t="s">
        <v>270</v>
      </c>
      <c r="E98" s="256">
        <v>5</v>
      </c>
      <c r="F98" s="257">
        <v>0</v>
      </c>
      <c r="G98" s="255">
        <v>1</v>
      </c>
      <c r="H98" s="257">
        <v>2</v>
      </c>
      <c r="I98" s="255">
        <v>0</v>
      </c>
      <c r="J98" s="257">
        <v>0</v>
      </c>
      <c r="K98" s="255">
        <v>5</v>
      </c>
      <c r="L98" s="255">
        <v>2</v>
      </c>
      <c r="M98" s="257">
        <v>2</v>
      </c>
      <c r="N98" s="255">
        <v>5</v>
      </c>
      <c r="O98" s="257">
        <f t="shared" si="6"/>
        <v>22</v>
      </c>
      <c r="P98" s="111"/>
    </row>
    <row r="99" spans="1:16" x14ac:dyDescent="0.25">
      <c r="A99" s="210"/>
      <c r="B99" s="220"/>
      <c r="C99" s="219"/>
      <c r="D99" s="1"/>
      <c r="E99" s="218"/>
      <c r="F99" s="217"/>
      <c r="G99" s="218"/>
      <c r="H99" s="217"/>
      <c r="I99" s="218"/>
      <c r="J99" s="217"/>
      <c r="K99" s="218"/>
      <c r="L99" s="218"/>
      <c r="M99" s="217"/>
      <c r="N99" s="210"/>
      <c r="O99" s="217"/>
      <c r="P99" s="210"/>
    </row>
    <row r="100" spans="1:16" s="1" customFormat="1" x14ac:dyDescent="0.25">
      <c r="B100" s="215"/>
      <c r="C100" s="215"/>
      <c r="E100" s="214"/>
      <c r="F100" s="214"/>
      <c r="G100" s="214"/>
      <c r="H100" s="214"/>
      <c r="I100" s="214"/>
      <c r="J100" s="214"/>
      <c r="K100" s="214"/>
      <c r="L100" s="214"/>
      <c r="M100" s="214"/>
      <c r="O100" s="214"/>
    </row>
    <row r="101" spans="1:16" s="1" customFormat="1" x14ac:dyDescent="0.25">
      <c r="B101" s="215"/>
      <c r="C101" s="215"/>
      <c r="E101" s="214"/>
      <c r="F101" s="214"/>
      <c r="G101" s="214"/>
      <c r="H101" s="214"/>
      <c r="I101" s="214"/>
      <c r="J101" s="214"/>
      <c r="K101" s="214"/>
      <c r="L101" s="214"/>
      <c r="M101" s="214"/>
      <c r="O101" s="214"/>
    </row>
    <row r="102" spans="1:16" s="1" customFormat="1" x14ac:dyDescent="0.25">
      <c r="B102" s="213"/>
      <c r="E102" s="214"/>
      <c r="F102" s="214"/>
      <c r="G102" s="214"/>
      <c r="H102" s="214"/>
      <c r="I102" s="214"/>
      <c r="J102" s="214"/>
      <c r="K102" s="214"/>
      <c r="L102" s="214"/>
      <c r="M102" s="214"/>
      <c r="O102" s="214"/>
    </row>
    <row r="103" spans="1:16" s="1" customFormat="1" x14ac:dyDescent="0.25">
      <c r="B103" s="215"/>
      <c r="C103" s="215"/>
      <c r="E103" s="214"/>
      <c r="F103" s="214"/>
      <c r="G103" s="214"/>
      <c r="H103" s="214"/>
      <c r="I103" s="214"/>
      <c r="J103" s="214"/>
      <c r="K103" s="214"/>
      <c r="L103" s="214"/>
      <c r="M103" s="214"/>
      <c r="O103" s="214"/>
    </row>
    <row r="104" spans="1:16" s="1" customFormat="1" x14ac:dyDescent="0.25">
      <c r="B104" s="215"/>
      <c r="C104" s="215"/>
      <c r="E104" s="214"/>
      <c r="F104" s="214"/>
      <c r="G104" s="214"/>
      <c r="H104" s="214"/>
      <c r="I104" s="214"/>
      <c r="J104" s="214"/>
      <c r="K104" s="214"/>
      <c r="L104" s="214"/>
      <c r="M104" s="214"/>
      <c r="O104" s="214"/>
    </row>
    <row r="105" spans="1:16" s="1" customFormat="1" x14ac:dyDescent="0.25">
      <c r="B105" s="216"/>
      <c r="C105" s="215"/>
      <c r="E105" s="214"/>
      <c r="F105" s="214"/>
      <c r="G105" s="214"/>
      <c r="H105" s="214"/>
      <c r="I105" s="214"/>
      <c r="J105" s="214"/>
      <c r="K105" s="214"/>
      <c r="L105" s="214"/>
      <c r="M105" s="214"/>
      <c r="O105" s="214"/>
    </row>
    <row r="106" spans="1:16" s="1" customFormat="1" x14ac:dyDescent="0.25">
      <c r="B106" s="215"/>
      <c r="C106" s="215"/>
      <c r="E106" s="214"/>
      <c r="F106" s="214"/>
      <c r="G106" s="214"/>
      <c r="H106" s="214"/>
      <c r="I106" s="214"/>
      <c r="J106" s="214"/>
      <c r="K106" s="214"/>
      <c r="L106" s="214"/>
      <c r="M106" s="214"/>
      <c r="O106" s="214"/>
    </row>
    <row r="107" spans="1:16" s="1" customFormat="1" x14ac:dyDescent="0.25">
      <c r="E107" s="214"/>
      <c r="F107" s="214"/>
      <c r="G107" s="214"/>
      <c r="H107" s="214"/>
      <c r="I107" s="214"/>
      <c r="J107" s="214"/>
      <c r="K107" s="214"/>
      <c r="L107" s="214"/>
      <c r="M107" s="214"/>
      <c r="O107" s="214"/>
    </row>
    <row r="108" spans="1:16" s="1" customFormat="1" x14ac:dyDescent="0.25">
      <c r="B108" s="215"/>
      <c r="C108" s="215"/>
      <c r="E108" s="214"/>
      <c r="F108" s="214"/>
      <c r="G108" s="214"/>
      <c r="H108" s="214"/>
      <c r="I108" s="214"/>
      <c r="J108" s="214"/>
      <c r="K108" s="214"/>
      <c r="L108" s="214"/>
      <c r="M108" s="214"/>
      <c r="O108" s="214"/>
    </row>
    <row r="109" spans="1:16" s="1" customFormat="1" x14ac:dyDescent="0.25">
      <c r="E109" s="214"/>
      <c r="F109" s="214"/>
      <c r="G109" s="214"/>
      <c r="H109" s="214"/>
      <c r="I109" s="214"/>
      <c r="J109" s="214"/>
      <c r="K109" s="214"/>
      <c r="L109" s="214"/>
      <c r="M109" s="214"/>
      <c r="O109" s="214"/>
    </row>
    <row r="110" spans="1:16" s="1" customFormat="1" x14ac:dyDescent="0.25">
      <c r="B110" s="215"/>
      <c r="C110" s="215"/>
      <c r="E110" s="214"/>
      <c r="F110" s="214"/>
      <c r="G110" s="214"/>
      <c r="H110" s="214"/>
      <c r="I110" s="214"/>
      <c r="J110" s="214"/>
      <c r="K110" s="214"/>
      <c r="L110" s="214"/>
      <c r="M110" s="214"/>
      <c r="O110" s="214"/>
    </row>
    <row r="111" spans="1:16" s="1" customFormat="1" x14ac:dyDescent="0.25">
      <c r="B111" s="216"/>
      <c r="C111" s="215"/>
      <c r="E111" s="214"/>
      <c r="F111" s="214"/>
      <c r="G111" s="214"/>
      <c r="H111" s="214"/>
      <c r="I111" s="214"/>
      <c r="J111" s="214"/>
      <c r="K111" s="214"/>
      <c r="L111" s="214"/>
      <c r="M111" s="214"/>
      <c r="O111" s="214"/>
    </row>
    <row r="112" spans="1:16" s="1" customFormat="1" x14ac:dyDescent="0.25">
      <c r="E112" s="214"/>
      <c r="F112" s="214"/>
      <c r="G112" s="214"/>
      <c r="H112" s="214"/>
      <c r="I112" s="214"/>
      <c r="J112" s="214"/>
      <c r="K112" s="214"/>
      <c r="L112" s="214"/>
      <c r="M112" s="214"/>
      <c r="O112" s="214"/>
    </row>
    <row r="113" spans="2:15" s="1" customFormat="1" x14ac:dyDescent="0.25">
      <c r="B113" s="216"/>
      <c r="C113" s="215"/>
      <c r="E113" s="214"/>
      <c r="F113" s="214"/>
      <c r="G113" s="214"/>
      <c r="H113" s="214"/>
      <c r="I113" s="214"/>
      <c r="J113" s="214"/>
      <c r="K113" s="214"/>
      <c r="L113" s="214"/>
      <c r="M113" s="214"/>
      <c r="O113" s="214"/>
    </row>
    <row r="114" spans="2:15" s="1" customFormat="1" x14ac:dyDescent="0.25">
      <c r="B114" s="215"/>
      <c r="C114" s="215"/>
      <c r="E114" s="214"/>
      <c r="F114" s="214"/>
      <c r="G114" s="214"/>
      <c r="H114" s="214"/>
      <c r="I114" s="214"/>
      <c r="J114" s="214"/>
      <c r="K114" s="214"/>
      <c r="L114" s="214"/>
      <c r="M114" s="214"/>
      <c r="O114" s="214"/>
    </row>
    <row r="115" spans="2:15" s="1" customFormat="1" x14ac:dyDescent="0.25">
      <c r="E115" s="214"/>
      <c r="F115" s="214"/>
      <c r="G115" s="214"/>
      <c r="H115" s="214"/>
      <c r="I115" s="214"/>
      <c r="J115" s="214"/>
      <c r="K115" s="214"/>
      <c r="L115" s="214"/>
      <c r="M115" s="214"/>
      <c r="O115" s="214"/>
    </row>
    <row r="116" spans="2:15" s="1" customFormat="1" x14ac:dyDescent="0.25"/>
    <row r="117" spans="2:15" s="1" customFormat="1" x14ac:dyDescent="0.25">
      <c r="C117" s="215"/>
      <c r="E117" s="214"/>
      <c r="F117" s="214"/>
      <c r="G117" s="214"/>
      <c r="H117" s="214"/>
      <c r="I117" s="214"/>
      <c r="J117" s="214"/>
      <c r="K117" s="214"/>
      <c r="L117" s="214"/>
      <c r="M117" s="214"/>
      <c r="O117" s="214"/>
    </row>
    <row r="118" spans="2:15" s="1" customFormat="1" x14ac:dyDescent="0.25">
      <c r="B118" s="215"/>
      <c r="C118" s="215"/>
      <c r="E118" s="214"/>
      <c r="F118" s="214"/>
      <c r="G118" s="214"/>
      <c r="H118" s="214"/>
      <c r="I118" s="214"/>
      <c r="J118" s="214"/>
      <c r="K118" s="214"/>
      <c r="L118" s="214"/>
      <c r="M118" s="214"/>
      <c r="O118" s="214"/>
    </row>
    <row r="119" spans="2:15" s="1" customFormat="1" x14ac:dyDescent="0.25">
      <c r="E119" s="214"/>
      <c r="F119" s="214"/>
      <c r="G119" s="214"/>
      <c r="H119" s="214"/>
      <c r="I119" s="214"/>
      <c r="J119" s="214"/>
      <c r="K119" s="214"/>
      <c r="L119" s="214"/>
      <c r="M119" s="214"/>
      <c r="O119" s="214"/>
    </row>
  </sheetData>
  <sortState ref="B5:O93">
    <sortCondition descending="1" ref="O5:O93"/>
    <sortCondition descending="1" ref="E5:E93"/>
    <sortCondition descending="1" ref="F5:F93"/>
    <sortCondition descending="1" ref="G5:G93"/>
    <sortCondition descending="1" ref="H5:H93"/>
    <sortCondition descending="1" ref="I5:I93"/>
  </sortState>
  <mergeCells count="16">
    <mergeCell ref="E82:O82"/>
    <mergeCell ref="E73:O73"/>
    <mergeCell ref="E59:O59"/>
    <mergeCell ref="E41:O41"/>
    <mergeCell ref="A5:D5"/>
    <mergeCell ref="A41:D41"/>
    <mergeCell ref="A59:D59"/>
    <mergeCell ref="A73:D73"/>
    <mergeCell ref="A82:D82"/>
    <mergeCell ref="P2:P4"/>
    <mergeCell ref="A2:A4"/>
    <mergeCell ref="B2:B4"/>
    <mergeCell ref="C2:C4"/>
    <mergeCell ref="D2:D4"/>
    <mergeCell ref="E2:N2"/>
    <mergeCell ref="O2:O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0" zoomScaleNormal="80" workbookViewId="0">
      <selection activeCell="S13" sqref="S13"/>
    </sheetView>
  </sheetViews>
  <sheetFormatPr defaultRowHeight="15" x14ac:dyDescent="0.25"/>
  <cols>
    <col min="10" max="10" width="26.7109375" customWidth="1"/>
    <col min="15" max="15" width="22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1.piel</vt:lpstr>
      <vt:lpstr>2.piel</vt:lpstr>
      <vt:lpstr>3.piel</vt:lpstr>
      <vt:lpstr>4.piel</vt:lpstr>
      <vt:lpstr>Sheet1</vt:lpstr>
      <vt:lpstr>'1.piel'!Print_Area</vt:lpstr>
      <vt:lpstr>'3.piel'!Print_Area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Juris</cp:lastModifiedBy>
  <cp:lastPrinted>2013-09-08T08:00:07Z</cp:lastPrinted>
  <dcterms:created xsi:type="dcterms:W3CDTF">2013-06-06T10:07:14Z</dcterms:created>
  <dcterms:modified xsi:type="dcterms:W3CDTF">2013-11-21T08:39:58Z</dcterms:modified>
</cp:coreProperties>
</file>