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E54" i="3"/>
  <c r="E53"/>
  <c r="E52"/>
  <c r="E18"/>
  <c r="E17"/>
  <c r="E16"/>
  <c r="A2" i="5"/>
  <c r="A2" i="4"/>
  <c r="L73" i="3"/>
  <c r="L72"/>
  <c r="L71"/>
  <c r="E72"/>
  <c r="E73"/>
  <c r="E71"/>
  <c r="G62"/>
  <c r="G63"/>
  <c r="F63"/>
  <c r="F62"/>
  <c r="G61"/>
  <c r="F61"/>
  <c r="L63"/>
  <c r="L62"/>
  <c r="L61"/>
  <c r="H61" s="1"/>
  <c r="I61" s="1"/>
  <c r="K63"/>
  <c r="K73" s="1"/>
  <c r="J73" s="1"/>
  <c r="H73" s="1"/>
  <c r="I73" s="1"/>
  <c r="K62"/>
  <c r="K72" s="1"/>
  <c r="J72" s="1"/>
  <c r="H62"/>
  <c r="I62" s="1"/>
  <c r="H63"/>
  <c r="I63" s="1"/>
  <c r="E62"/>
  <c r="E63"/>
  <c r="E61"/>
  <c r="K61"/>
  <c r="K71" s="1"/>
  <c r="J71" s="1"/>
  <c r="H71" s="1"/>
  <c r="K43"/>
  <c r="K52" s="1"/>
  <c r="K44"/>
  <c r="K53" s="1"/>
  <c r="J53" s="1"/>
  <c r="H53" s="1"/>
  <c r="I43"/>
  <c r="I44"/>
  <c r="G43"/>
  <c r="G44"/>
  <c r="F44"/>
  <c r="F45"/>
  <c r="F43"/>
  <c r="H52" l="1"/>
  <c r="J52"/>
  <c r="H72"/>
  <c r="F72" s="1"/>
  <c r="G72" s="1"/>
  <c r="F73"/>
  <c r="G73" s="1"/>
  <c r="I71"/>
  <c r="F71"/>
  <c r="G71" s="1"/>
  <c r="I53"/>
  <c r="F53"/>
  <c r="G53" s="1"/>
  <c r="F52"/>
  <c r="G52" s="1"/>
  <c r="I52"/>
  <c r="I72"/>
  <c r="H35"/>
  <c r="H36"/>
  <c r="H34"/>
  <c r="F34" s="1"/>
  <c r="G34" s="1"/>
  <c r="L36"/>
  <c r="L35"/>
  <c r="L34"/>
  <c r="F35"/>
  <c r="G35" s="1"/>
  <c r="F36"/>
  <c r="G36" s="1"/>
  <c r="H26"/>
  <c r="H27"/>
  <c r="H25"/>
  <c r="L27"/>
  <c r="L26"/>
  <c r="L25"/>
  <c r="L18"/>
  <c r="L17"/>
  <c r="L16"/>
  <c r="H9"/>
  <c r="L9"/>
  <c r="L8"/>
  <c r="H8" s="1"/>
  <c r="F7"/>
  <c r="H7"/>
  <c r="L7"/>
  <c r="B57"/>
  <c r="B39"/>
  <c r="B21"/>
  <c r="B3"/>
  <c r="A2" i="2"/>
  <c r="K6" i="1"/>
  <c r="I6"/>
  <c r="G6"/>
  <c r="M9"/>
  <c r="M7"/>
  <c r="K7"/>
  <c r="K8"/>
  <c r="K9"/>
  <c r="I7"/>
  <c r="G7"/>
  <c r="A2" i="3"/>
  <c r="B9" i="4"/>
  <c r="B9" i="5" s="1"/>
  <c r="B8" i="4"/>
  <c r="B8" i="5" s="1"/>
  <c r="B7" i="4"/>
  <c r="B7" i="5" s="1"/>
  <c r="B6" i="4"/>
  <c r="B6" i="5" s="1"/>
  <c r="I51" i="3"/>
  <c r="E9" i="1"/>
  <c r="L8"/>
  <c r="M8" s="1"/>
  <c r="H8"/>
  <c r="E8"/>
  <c r="I27" i="3"/>
  <c r="I26"/>
  <c r="F27"/>
  <c r="F26"/>
  <c r="F7" i="1"/>
  <c r="H7" s="1"/>
  <c r="I15" i="3"/>
  <c r="B1"/>
  <c r="K9"/>
  <c r="K18" s="1"/>
  <c r="J18" s="1"/>
  <c r="H18" s="1"/>
  <c r="F18" s="1"/>
  <c r="G18" s="1"/>
  <c r="K8"/>
  <c r="K17" s="1"/>
  <c r="J17" s="1"/>
  <c r="H17" s="1"/>
  <c r="F17" s="1"/>
  <c r="G17" s="1"/>
  <c r="K7"/>
  <c r="K16" s="1"/>
  <c r="J16" s="1"/>
  <c r="H16" s="1"/>
  <c r="F16" s="1"/>
  <c r="G16" s="1"/>
  <c r="G7"/>
  <c r="E8"/>
  <c r="E7"/>
  <c r="M6" i="1"/>
  <c r="E6"/>
  <c r="G9" i="2"/>
  <c r="F9"/>
  <c r="D9"/>
  <c r="B9"/>
  <c r="B8"/>
  <c r="B7"/>
  <c r="B6"/>
  <c r="B17" i="1"/>
  <c r="B16"/>
  <c r="B15"/>
  <c r="B14"/>
  <c r="C6" i="2"/>
  <c r="I9" i="1"/>
  <c r="I16" i="3" l="1"/>
  <c r="L7" i="1"/>
  <c r="I34" i="3"/>
  <c r="I25"/>
  <c r="K25"/>
  <c r="K27"/>
  <c r="I35"/>
  <c r="F25"/>
  <c r="K26"/>
  <c r="I7"/>
  <c r="I45"/>
  <c r="I36" l="1"/>
  <c r="B2"/>
  <c r="G9" i="1"/>
  <c r="G45" i="3"/>
  <c r="E45"/>
  <c r="L53"/>
  <c r="E44"/>
  <c r="L52"/>
  <c r="E43"/>
  <c r="K36"/>
  <c r="K35"/>
  <c r="K34"/>
  <c r="G27"/>
  <c r="G25"/>
  <c r="E36"/>
  <c r="E35"/>
  <c r="E34"/>
  <c r="E27"/>
  <c r="E26"/>
  <c r="E25"/>
  <c r="E9"/>
  <c r="K45" l="1"/>
  <c r="K54" s="1"/>
  <c r="J54" s="1"/>
  <c r="H54" s="1"/>
  <c r="G26"/>
  <c r="F54" l="1"/>
  <c r="G54" s="1"/>
  <c r="I54"/>
  <c r="G8" i="1"/>
  <c r="I8"/>
  <c r="I8" i="3"/>
  <c r="F8"/>
  <c r="G8" s="1"/>
  <c r="I9"/>
  <c r="F9"/>
  <c r="G9" s="1"/>
  <c r="I18"/>
  <c r="I17" l="1"/>
</calcChain>
</file>

<file path=xl/sharedStrings.xml><?xml version="1.0" encoding="utf-8"?>
<sst xmlns="http://schemas.openxmlformats.org/spreadsheetml/2006/main" count="278" uniqueCount="122">
  <si>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</si>
  <si>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</si>
  <si>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</si>
  <si>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</si>
  <si>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</si>
  <si>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</si>
  <si>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</si>
  <si>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</si>
  <si>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</si>
  <si>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</si>
  <si>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</si>
  <si>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</si>
  <si>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</si>
  <si>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</si>
  <si>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</si>
  <si>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</si>
  <si>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</si>
  <si>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</si>
  <si>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</si>
  <si>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</si>
  <si>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</si>
  <si>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</si>
  <si>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</si>
  <si>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</si>
  <si>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</si>
  <si>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</si>
  <si>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</si>
  <si>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</si>
  <si>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</si>
  <si>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</si>
  <si>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</si>
  <si>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</si>
  <si>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</si>
  <si>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</si>
  <si>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</si>
  <si>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</si>
  <si>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</si>
  <si>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</si>
  <si>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</si>
  <si>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</si>
  <si>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</si>
  <si>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</si>
  <si>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</si>
  <si>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</si>
  <si>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</si>
  <si>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</si>
  <si>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</si>
  <si>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U,K</t>
  </si>
  <si>
    <t>Uzņē-mumu skaits</t>
  </si>
  <si>
    <t>TUME</t>
  </si>
  <si>
    <t>Dati kanalizācijas bilancei nav ticami, nav uzrādīta infiltrācija</t>
  </si>
  <si>
    <t>Dati ūdens bilancei nav ticami, nav pietiekoši daudz informācijas situācijas izvērtēšanai, ūdens patēriņā ieskaitīti zudumi.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</si>
  <si>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</si>
  <si>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</si>
  <si>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</si>
  <si>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</si>
  <si>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</si>
  <si>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</si>
  <si>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</si>
  <si>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</si>
  <si>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atbilst normat.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</si>
  <si>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</si>
  <si>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</si>
  <si>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</si>
  <si>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</si>
  <si>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</si>
  <si>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</si>
  <si>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</si>
  <si>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</si>
  <si>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</si>
  <si>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Respondents</t>
  </si>
  <si>
    <t>Inciems</t>
  </si>
  <si>
    <t>Sunīši</t>
  </si>
  <si>
    <t>Turaida</t>
  </si>
  <si>
    <t>Ragana</t>
  </si>
  <si>
    <t>U, K</t>
  </si>
  <si>
    <t>SIA "Entalpija-2"</t>
  </si>
  <si>
    <t>Krimuldas novada pašvaldības SIA</t>
  </si>
  <si>
    <t>Ir līgums, Regulatora izsniegta licence un apstiprināti tarifi</t>
  </si>
  <si>
    <t>Pamatlīdzekļi ir Krimuldas novada pašvaldības bilancē un ir nodoti ar patapinājuma līgumu lietošanā SIA "Entalpija-2"</t>
  </si>
  <si>
    <t>Krimuldas novads</t>
  </si>
  <si>
    <t>Notekūdeņi tiek novadīti uz Siguldas NAI, ko apkalpo SIA "Saltavots"</t>
  </si>
  <si>
    <t>Meliorācijas notekgrāvis - notekgrāvju sistēm - Tarupe</t>
  </si>
  <si>
    <t>Fe = 0,628 mg/l (Test.pārsk. Nr. 804-28.04-11)</t>
  </si>
  <si>
    <t>atbilst normat.(Test.pārsk. Nr. 2980-14.11-11)</t>
  </si>
  <si>
    <t>Gauja</t>
  </si>
  <si>
    <t>Izved ar asenizācijas mucu uz Raganas c.veco NAI septiķu rezervuāriem (2012.g. Plānots slēgt līgumu ar Cēsu SIA "Vinda" par dūņu izvešanu. )</t>
  </si>
  <si>
    <t>Dūņu lauku nav, uzglabā Sunīšu c. veco NAI slēgtajos baseinos.(2012.g. Plānots slēgt līgumu ar Cēsu SIA "Vinda" par dūņu izvešanu. )</t>
  </si>
  <si>
    <t>SV=36mg/l (Test.pārsk. 2917-09.11-11)</t>
  </si>
  <si>
    <t>atbilst normat.(Test.pārsk. 807-28.04-11)</t>
  </si>
  <si>
    <t>Lojas upe</t>
  </si>
  <si>
    <t xml:space="preserve">Dūņu lauku nav, uzglabā veco NAI nosēdseptiķos. </t>
  </si>
  <si>
    <t>atbilst normat. (Test.pārsk. Nr. 2918-09.11-11)</t>
  </si>
  <si>
    <t>Fe = 0,245 mg/l (Test.pārsk. Nr. 803-28.04-11)</t>
  </si>
  <si>
    <t>L = 4,5 km. 2008.g. Rekonstruēti 70% maģistrālās caurules; d = 32, 40, 60, 100, 160mm, materiāls - plastmasa, ir ugunsdzēsības hidranti</t>
  </si>
  <si>
    <t xml:space="preserve">BIO - 250, par tehnisko stāvokli respondents nav sniedzis informāciju, bet tā izbūvēta 2008.g. </t>
  </si>
  <si>
    <t>Cauruļvadi - 1,1 km, keramika, d - 200 mm; d = 250mm , keramika - 0,28km</t>
  </si>
  <si>
    <t>nav</t>
  </si>
  <si>
    <t xml:space="preserve">Respondents norādījis pasākumus, kuri attiecas uz ekspluatācijas izmaksām. </t>
  </si>
  <si>
    <t xml:space="preserve">1,2 km keramikas caurules; d = 200 mm; 1,2 km keramikas caurules, d = 250mm </t>
  </si>
  <si>
    <t>1 KSS, par tehn.stāvokli nd</t>
  </si>
  <si>
    <t>Paaugstināts Fe daudzums</t>
  </si>
  <si>
    <t>Jauna dziļurbuma izveide netālu no esošā (P100168); ūdenstorņa skalošana (jau ieplānota 2012.g. )</t>
  </si>
  <si>
    <t>BIO-100, par tehn.stāvokli nd</t>
  </si>
  <si>
    <t xml:space="preserve">L = 1,7 km, materiāls - keramika; d = 200mm. </t>
  </si>
  <si>
    <t xml:space="preserve">USS, q=100 m3/dnn, tehn.stāvoklis labs; izbūvētas 2006.g. </t>
  </si>
  <si>
    <t>Nav. Notekūdeņus novada uz Siguldas NAI.</t>
  </si>
  <si>
    <t>USS "AQUA FERRUM 14/2"; q = 3 m3/h</t>
  </si>
  <si>
    <t xml:space="preserve">Vecā ūdenstorņa demontāža un pasākumi, kuri attiecas uz ekspluatācijas izmaksām </t>
  </si>
  <si>
    <t>Ūdens patēriņā iekļauti ūdens zudumi.</t>
  </si>
  <si>
    <t>Kanalizācijas bilance iegūta aprēķinu ceļā.</t>
  </si>
  <si>
    <t>Dati kanalizācijas bilancei nav ticami, nav uzrādīta infiltrācija.</t>
  </si>
  <si>
    <t>2 dziļurbumi: Nr.10 P100168; P100559; Nr.11 Par tehn.stāvokli nd</t>
  </si>
  <si>
    <t>2 dziļurbumi: Nr. 6 (P100570) un Nr. 7 (P100571); q = 10 m3/dnn, tehn.stāvoklis apmierinošs</t>
  </si>
  <si>
    <t>1 urbums, identifikācijas Nr. P100573, tehn.stāvoklis normāls</t>
  </si>
  <si>
    <t>USS, izbūvētas 2006.g.; tehn.stāvoklis nd, q = 10 m3/h</t>
  </si>
  <si>
    <t>USS, izbūvētas 2006.g.; tehn.stāvoklis labs, q = 25 m3/h</t>
  </si>
  <si>
    <t>L = 2,6 km (0,8km - tērauds, d = 50 mm; 1,4km - plastmasa, d = 63mm; 0,4 km - plastmasa, d = 100mm )</t>
  </si>
  <si>
    <t>L = 1,1km (0,7km, d = 50mm; 0,4km - d= 100 mm.</t>
  </si>
  <si>
    <t xml:space="preserve">Urbuma Nr. 6 paviljona renovācija, USS rekonstrukcija; ūdensapgādes tīklu rekonstrukcija, L=600 m; kanalizācijas tīklu rekonstrukcija, L=200 m; jauna hidrofora uzstādīšana (q = 3 m3) </t>
  </si>
  <si>
    <t>1 jauns artēziskais urbums, tehnstāvoklis labs.</t>
  </si>
  <si>
    <t>SIA "Entalpija2" valdes loceklis Aivars Erdmanis, e-pasts: aivars.erdmanis@tvnet.lv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</si>
</sst>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0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vertical="top"/>
    </xf>
    <xf numFmtId="0" fontId="2" fillId="0" borderId="5" xfId="0" applyFont="1" applyFill="1" applyBorder="1" applyAlignment="1">
      <alignment horizontal="right" vertical="top"/>
    </xf>
    <xf numFmtId="0" fontId="2" fillId="0" borderId="5" xfId="0" applyFont="1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9" fontId="2" fillId="0" borderId="1" xfId="0" applyNumberFormat="1" applyFont="1" applyFill="1" applyBorder="1"/>
    <xf numFmtId="1" fontId="2" fillId="0" borderId="4" xfId="0" applyNumberFormat="1" applyFont="1" applyFill="1" applyBorder="1"/>
    <xf numFmtId="1" fontId="2" fillId="0" borderId="6" xfId="0" applyNumberFormat="1" applyFont="1" applyFill="1" applyBorder="1"/>
    <xf numFmtId="0" fontId="2" fillId="0" borderId="1" xfId="0" applyFont="1" applyFill="1" applyBorder="1" applyAlignment="1">
      <alignment horizontal="right"/>
    </xf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0" fontId="0" fillId="0" borderId="0" xfId="0" applyBorder="1" applyAlignment="1"/>
    <xf numFmtId="0" fontId="9" fillId="0" borderId="3" xfId="0" applyFont="1" applyFill="1" applyBorder="1"/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6" fillId="0" borderId="8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0" fontId="3" fillId="0" borderId="2" xfId="0" applyFont="1" applyFill="1" applyBorder="1" applyAlignment="1">
      <alignment vertical="top"/>
    </xf>
    <xf numFmtId="164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1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0" fontId="0" fillId="0" borderId="8" xfId="0" applyFill="1" applyBorder="1" applyAlignment="1"/>
    <xf numFmtId="1" fontId="2" fillId="0" borderId="4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activeCell="J8" sqref="J8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86" t="s">
        <v>33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13" ht="18.75">
      <c r="A2" s="9" t="s">
        <v>80</v>
      </c>
    </row>
    <row r="3" spans="1:13" s="7" customFormat="1" ht="36" customHeight="1">
      <c r="A3" s="87" t="s">
        <v>0</v>
      </c>
      <c r="B3" s="87" t="s">
        <v>1</v>
      </c>
      <c r="C3" s="87" t="s">
        <v>2</v>
      </c>
      <c r="D3" s="87"/>
      <c r="E3" s="87"/>
      <c r="F3" s="87" t="s">
        <v>3</v>
      </c>
      <c r="G3" s="87"/>
      <c r="H3" s="87"/>
      <c r="I3" s="87"/>
      <c r="J3" s="87" t="s">
        <v>8</v>
      </c>
      <c r="K3" s="87"/>
      <c r="L3" s="87"/>
      <c r="M3" s="87"/>
    </row>
    <row r="4" spans="1:13" ht="31.5" customHeight="1">
      <c r="A4" s="91"/>
      <c r="B4" s="92"/>
      <c r="C4" s="88" t="s">
        <v>30</v>
      </c>
      <c r="D4" s="88" t="s">
        <v>31</v>
      </c>
      <c r="E4" s="88" t="s">
        <v>32</v>
      </c>
      <c r="F4" s="88" t="s">
        <v>4</v>
      </c>
      <c r="G4" s="88"/>
      <c r="H4" s="89" t="s">
        <v>5</v>
      </c>
      <c r="I4" s="90"/>
      <c r="J4" s="88" t="s">
        <v>4</v>
      </c>
      <c r="K4" s="88"/>
      <c r="L4" s="89" t="s">
        <v>5</v>
      </c>
      <c r="M4" s="90"/>
    </row>
    <row r="5" spans="1:13">
      <c r="A5" s="92"/>
      <c r="B5" s="92"/>
      <c r="C5" s="93"/>
      <c r="D5" s="93"/>
      <c r="E5" s="93"/>
      <c r="F5" s="32" t="s">
        <v>6</v>
      </c>
      <c r="G5" s="32" t="s">
        <v>7</v>
      </c>
      <c r="H5" s="32" t="s">
        <v>6</v>
      </c>
      <c r="I5" s="32" t="s">
        <v>7</v>
      </c>
      <c r="J5" s="32" t="s">
        <v>6</v>
      </c>
      <c r="K5" s="32" t="s">
        <v>7</v>
      </c>
      <c r="L5" s="32" t="s">
        <v>6</v>
      </c>
      <c r="M5" s="32" t="s">
        <v>7</v>
      </c>
    </row>
    <row r="6" spans="1:13" ht="15.75" customHeight="1">
      <c r="A6" s="60">
        <v>1</v>
      </c>
      <c r="B6" s="79" t="s">
        <v>71</v>
      </c>
      <c r="C6" s="81">
        <v>634</v>
      </c>
      <c r="D6" s="61">
        <v>627</v>
      </c>
      <c r="E6" s="61">
        <f>+D6</f>
        <v>627</v>
      </c>
      <c r="F6" s="61">
        <v>353</v>
      </c>
      <c r="G6" s="10">
        <f>F6/D6</f>
        <v>0.56299840510366828</v>
      </c>
      <c r="H6" s="60">
        <v>353</v>
      </c>
      <c r="I6" s="10">
        <f>H6/D6</f>
        <v>0.56299840510366828</v>
      </c>
      <c r="J6" s="61">
        <v>324</v>
      </c>
      <c r="K6" s="10">
        <f t="shared" ref="K6:K9" si="0">J6/D6</f>
        <v>0.51674641148325362</v>
      </c>
      <c r="L6" s="60">
        <v>324</v>
      </c>
      <c r="M6" s="11">
        <f t="shared" ref="M6:M9" si="1">L6/D6</f>
        <v>0.51674641148325362</v>
      </c>
    </row>
    <row r="7" spans="1:13">
      <c r="A7" s="60">
        <v>2</v>
      </c>
      <c r="B7" s="80" t="s">
        <v>72</v>
      </c>
      <c r="C7" s="82">
        <v>368</v>
      </c>
      <c r="D7" s="61">
        <v>325</v>
      </c>
      <c r="E7" s="61">
        <v>305</v>
      </c>
      <c r="F7" s="61">
        <f>+E7</f>
        <v>305</v>
      </c>
      <c r="G7" s="10">
        <f>F7/D7</f>
        <v>0.93846153846153846</v>
      </c>
      <c r="H7" s="60">
        <f>+F7</f>
        <v>305</v>
      </c>
      <c r="I7" s="10">
        <f>H7/D7</f>
        <v>0.93846153846153846</v>
      </c>
      <c r="J7" s="61">
        <v>265</v>
      </c>
      <c r="K7" s="10">
        <f t="shared" si="0"/>
        <v>0.81538461538461537</v>
      </c>
      <c r="L7" s="60">
        <f>+J7</f>
        <v>265</v>
      </c>
      <c r="M7" s="11">
        <f t="shared" si="1"/>
        <v>0.81538461538461537</v>
      </c>
    </row>
    <row r="8" spans="1:13">
      <c r="A8" s="60">
        <v>3</v>
      </c>
      <c r="B8" s="80" t="s">
        <v>73</v>
      </c>
      <c r="C8" s="82">
        <v>213</v>
      </c>
      <c r="D8" s="61">
        <v>189</v>
      </c>
      <c r="E8" s="61">
        <f>+D8</f>
        <v>189</v>
      </c>
      <c r="F8" s="61">
        <v>110</v>
      </c>
      <c r="G8" s="10">
        <f t="shared" ref="G8:G9" si="2">+F8/E8</f>
        <v>0.58201058201058198</v>
      </c>
      <c r="H8" s="60">
        <f>+F8</f>
        <v>110</v>
      </c>
      <c r="I8" s="10">
        <f t="shared" ref="I8:I9" si="3">+H8/E8</f>
        <v>0.58201058201058198</v>
      </c>
      <c r="J8" s="61">
        <v>77</v>
      </c>
      <c r="K8" s="10">
        <f t="shared" si="0"/>
        <v>0.40740740740740738</v>
      </c>
      <c r="L8" s="60">
        <f>+J8</f>
        <v>77</v>
      </c>
      <c r="M8" s="11">
        <f t="shared" si="1"/>
        <v>0.40740740740740738</v>
      </c>
    </row>
    <row r="9" spans="1:13">
      <c r="A9" s="60">
        <v>4</v>
      </c>
      <c r="B9" s="79" t="s">
        <v>74</v>
      </c>
      <c r="C9" s="81">
        <v>1293</v>
      </c>
      <c r="D9" s="61">
        <v>1278</v>
      </c>
      <c r="E9" s="61">
        <f>+D9</f>
        <v>1278</v>
      </c>
      <c r="F9" s="61">
        <v>814</v>
      </c>
      <c r="G9" s="10">
        <f t="shared" si="2"/>
        <v>0.63693270735524254</v>
      </c>
      <c r="H9" s="60">
        <v>814</v>
      </c>
      <c r="I9" s="10">
        <f t="shared" si="3"/>
        <v>0.63693270735524254</v>
      </c>
      <c r="J9" s="61">
        <v>659</v>
      </c>
      <c r="K9" s="10">
        <f t="shared" si="0"/>
        <v>0.51564945226917058</v>
      </c>
      <c r="L9" s="60">
        <v>659</v>
      </c>
      <c r="M9" s="11">
        <f t="shared" si="1"/>
        <v>0.51564945226917058</v>
      </c>
    </row>
    <row r="10" spans="1:13" ht="18.75" customHeight="1"/>
    <row r="11" spans="1:13" ht="35.25" customHeight="1">
      <c r="A11" s="87" t="s">
        <v>0</v>
      </c>
      <c r="B11" s="87" t="s">
        <v>1</v>
      </c>
      <c r="C11" s="88" t="s">
        <v>37</v>
      </c>
      <c r="D11" s="88"/>
      <c r="E11" s="88"/>
      <c r="F11" s="93"/>
      <c r="G11" s="89" t="s">
        <v>39</v>
      </c>
      <c r="H11" s="96"/>
      <c r="I11" s="90"/>
    </row>
    <row r="12" spans="1:13">
      <c r="A12" s="91"/>
      <c r="B12" s="92"/>
      <c r="C12" s="89" t="s">
        <v>10</v>
      </c>
      <c r="D12" s="94"/>
      <c r="E12" s="89" t="s">
        <v>11</v>
      </c>
      <c r="F12" s="95"/>
      <c r="G12" s="97" t="s">
        <v>45</v>
      </c>
      <c r="H12" s="97" t="s">
        <v>40</v>
      </c>
      <c r="I12" s="97" t="s">
        <v>46</v>
      </c>
    </row>
    <row r="13" spans="1:13" ht="47.25">
      <c r="A13" s="92"/>
      <c r="B13" s="92"/>
      <c r="C13" s="32" t="s">
        <v>38</v>
      </c>
      <c r="D13" s="32" t="s">
        <v>48</v>
      </c>
      <c r="E13" s="32" t="s">
        <v>38</v>
      </c>
      <c r="F13" s="32" t="s">
        <v>48</v>
      </c>
      <c r="G13" s="98"/>
      <c r="H13" s="98"/>
      <c r="I13" s="98"/>
    </row>
    <row r="14" spans="1:13">
      <c r="A14" s="57">
        <v>1</v>
      </c>
      <c r="B14" s="56" t="str">
        <f>+B6</f>
        <v>Inciems</v>
      </c>
      <c r="C14" s="57" t="s">
        <v>29</v>
      </c>
      <c r="D14" s="57" t="s">
        <v>29</v>
      </c>
      <c r="E14" s="57">
        <v>3</v>
      </c>
      <c r="F14" s="57">
        <v>8</v>
      </c>
      <c r="G14" s="11">
        <v>0.6</v>
      </c>
      <c r="H14" s="11" t="s">
        <v>29</v>
      </c>
      <c r="I14" s="11" t="s">
        <v>29</v>
      </c>
      <c r="J14" s="12"/>
    </row>
    <row r="15" spans="1:13">
      <c r="A15" s="57">
        <v>2</v>
      </c>
      <c r="B15" s="56" t="str">
        <f>+B7</f>
        <v>Sunīši</v>
      </c>
      <c r="C15" s="57" t="s">
        <v>29</v>
      </c>
      <c r="D15" s="57" t="s">
        <v>29</v>
      </c>
      <c r="E15" s="57">
        <v>1</v>
      </c>
      <c r="F15" s="57">
        <v>4</v>
      </c>
      <c r="G15" s="11">
        <v>1.7000000000000001E-2</v>
      </c>
      <c r="H15" s="11" t="s">
        <v>29</v>
      </c>
      <c r="I15" s="11" t="s">
        <v>29</v>
      </c>
      <c r="J15" s="12"/>
    </row>
    <row r="16" spans="1:13">
      <c r="A16" s="57">
        <v>3</v>
      </c>
      <c r="B16" s="56" t="str">
        <f>+B8</f>
        <v>Turaida</v>
      </c>
      <c r="C16" s="57">
        <v>0</v>
      </c>
      <c r="D16" s="57">
        <v>0</v>
      </c>
      <c r="E16" s="57">
        <v>0</v>
      </c>
      <c r="F16" s="57">
        <v>0</v>
      </c>
      <c r="G16" s="11">
        <v>0.42699999999999999</v>
      </c>
      <c r="H16" s="11">
        <v>0</v>
      </c>
      <c r="I16" s="11">
        <v>0</v>
      </c>
      <c r="J16" s="12"/>
    </row>
    <row r="17" spans="1:10">
      <c r="A17" s="57">
        <v>4</v>
      </c>
      <c r="B17" s="56" t="str">
        <f>+B9</f>
        <v>Ragana</v>
      </c>
      <c r="C17" s="57">
        <v>4</v>
      </c>
      <c r="D17" s="57">
        <v>4</v>
      </c>
      <c r="E17" s="57">
        <v>0</v>
      </c>
      <c r="F17" s="57">
        <v>0</v>
      </c>
      <c r="G17" s="11">
        <v>0.11</v>
      </c>
      <c r="H17" s="11">
        <v>1</v>
      </c>
      <c r="I17" s="11">
        <v>1</v>
      </c>
      <c r="J17" s="12"/>
    </row>
  </sheetData>
  <mergeCells count="22">
    <mergeCell ref="A11:A13"/>
    <mergeCell ref="B11:B13"/>
    <mergeCell ref="E4:E5"/>
    <mergeCell ref="J3:M3"/>
    <mergeCell ref="J4:K4"/>
    <mergeCell ref="L4:M4"/>
    <mergeCell ref="D4:D5"/>
    <mergeCell ref="C11:F11"/>
    <mergeCell ref="C12:D12"/>
    <mergeCell ref="E12:F12"/>
    <mergeCell ref="G11:I11"/>
    <mergeCell ref="G12:G13"/>
    <mergeCell ref="H12:H13"/>
    <mergeCell ref="I12:I13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"/>
  <sheetViews>
    <sheetView topLeftCell="A6" workbookViewId="0">
      <selection activeCell="G8" sqref="G8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34</v>
      </c>
    </row>
    <row r="2" spans="1:10" ht="18.75">
      <c r="A2" s="13" t="str">
        <f>+Nodrosinajums!A2</f>
        <v>Krimuldas novads</v>
      </c>
    </row>
    <row r="3" spans="1:10" s="53" customFormat="1" ht="18" customHeight="1">
      <c r="A3" s="63"/>
      <c r="B3" s="64"/>
      <c r="C3" s="65" t="s">
        <v>70</v>
      </c>
      <c r="D3" s="66" t="s">
        <v>121</v>
      </c>
      <c r="E3" s="66"/>
      <c r="F3" s="66"/>
      <c r="G3" s="66"/>
      <c r="H3" s="66"/>
      <c r="I3" s="66"/>
      <c r="J3" s="67"/>
    </row>
    <row r="4" spans="1:10" s="7" customFormat="1" ht="39.75" customHeight="1">
      <c r="A4" s="97" t="s">
        <v>0</v>
      </c>
      <c r="B4" s="97" t="s">
        <v>1</v>
      </c>
      <c r="C4" s="97"/>
      <c r="D4" s="104" t="s">
        <v>9</v>
      </c>
      <c r="E4" s="105"/>
      <c r="F4" s="101" t="s">
        <v>12</v>
      </c>
      <c r="G4" s="102"/>
      <c r="H4" s="102"/>
      <c r="I4" s="102"/>
      <c r="J4" s="103"/>
    </row>
    <row r="5" spans="1:10" ht="34.5" customHeight="1">
      <c r="A5" s="99"/>
      <c r="B5" s="100"/>
      <c r="C5" s="110"/>
      <c r="D5" s="106"/>
      <c r="E5" s="107"/>
      <c r="F5" s="41" t="s">
        <v>13</v>
      </c>
      <c r="G5" s="41" t="s">
        <v>35</v>
      </c>
      <c r="H5" s="57" t="s">
        <v>14</v>
      </c>
      <c r="I5" s="89" t="s">
        <v>15</v>
      </c>
      <c r="J5" s="94"/>
    </row>
    <row r="6" spans="1:10" s="45" customFormat="1" ht="130.5" customHeight="1">
      <c r="A6" s="43">
        <v>1</v>
      </c>
      <c r="B6" s="44" t="str">
        <f>+Nodrosinajums!B6</f>
        <v>Inciems</v>
      </c>
      <c r="C6" s="44" t="str">
        <f>+C7</f>
        <v>U,K</v>
      </c>
      <c r="D6" s="108" t="s">
        <v>76</v>
      </c>
      <c r="E6" s="109"/>
      <c r="F6" s="59" t="s">
        <v>77</v>
      </c>
      <c r="G6" s="59" t="s">
        <v>78</v>
      </c>
      <c r="H6" s="59" t="s">
        <v>79</v>
      </c>
      <c r="I6" s="108" t="s">
        <v>76</v>
      </c>
      <c r="J6" s="109"/>
    </row>
    <row r="7" spans="1:10" s="45" customFormat="1" ht="126.75" customHeight="1">
      <c r="A7" s="85">
        <v>2</v>
      </c>
      <c r="B7" s="84" t="str">
        <f>+Nodrosinajums!B7</f>
        <v>Sunīši</v>
      </c>
      <c r="C7" s="84" t="s">
        <v>47</v>
      </c>
      <c r="D7" s="91" t="s">
        <v>76</v>
      </c>
      <c r="E7" s="91"/>
      <c r="F7" s="84" t="s">
        <v>77</v>
      </c>
      <c r="G7" s="84" t="s">
        <v>78</v>
      </c>
      <c r="H7" s="84" t="s">
        <v>79</v>
      </c>
      <c r="I7" s="91" t="s">
        <v>76</v>
      </c>
      <c r="J7" s="91"/>
    </row>
    <row r="8" spans="1:10" s="45" customFormat="1" ht="131.25" customHeight="1">
      <c r="A8" s="43">
        <v>3</v>
      </c>
      <c r="B8" s="44" t="str">
        <f>+Nodrosinajums!B8</f>
        <v>Turaida</v>
      </c>
      <c r="C8" s="58" t="s">
        <v>75</v>
      </c>
      <c r="D8" s="108" t="s">
        <v>76</v>
      </c>
      <c r="E8" s="109"/>
      <c r="F8" s="59" t="s">
        <v>77</v>
      </c>
      <c r="G8" s="59" t="s">
        <v>78</v>
      </c>
      <c r="H8" s="59" t="s">
        <v>79</v>
      </c>
      <c r="I8" s="108" t="s">
        <v>76</v>
      </c>
      <c r="J8" s="109"/>
    </row>
    <row r="9" spans="1:10" s="45" customFormat="1" ht="140.25" customHeight="1">
      <c r="A9" s="57">
        <v>4</v>
      </c>
      <c r="B9" s="56" t="str">
        <f>+Nodrosinajums!B9</f>
        <v>Ragana</v>
      </c>
      <c r="C9" s="62" t="s">
        <v>75</v>
      </c>
      <c r="D9" s="111" t="str">
        <f>+D7</f>
        <v>SIA "Entalpija-2"</v>
      </c>
      <c r="E9" s="112"/>
      <c r="F9" s="56" t="str">
        <f>+F7</f>
        <v>Krimuldas novada pašvaldības SIA</v>
      </c>
      <c r="G9" s="56" t="str">
        <f>+G7</f>
        <v>Ir līgums, Regulatora izsniegta licence un apstiprināti tarifi</v>
      </c>
      <c r="H9" s="56" t="s">
        <v>79</v>
      </c>
      <c r="I9" s="111" t="s">
        <v>76</v>
      </c>
      <c r="J9" s="112"/>
    </row>
  </sheetData>
  <mergeCells count="14">
    <mergeCell ref="I9:J9"/>
    <mergeCell ref="I8:J8"/>
    <mergeCell ref="I7:J7"/>
    <mergeCell ref="D7:E7"/>
    <mergeCell ref="D8:E8"/>
    <mergeCell ref="D9:E9"/>
    <mergeCell ref="A4:A5"/>
    <mergeCell ref="B4:B5"/>
    <mergeCell ref="F4:J4"/>
    <mergeCell ref="D4:E5"/>
    <mergeCell ref="D6:E6"/>
    <mergeCell ref="I5:J5"/>
    <mergeCell ref="I6:J6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75"/>
  <sheetViews>
    <sheetView topLeftCell="B58" workbookViewId="0">
      <selection activeCell="B78" sqref="B78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36</v>
      </c>
      <c r="B1" s="47" t="str">
        <f>+A1</f>
        <v>Ūdensapgādes un kanalizācijas pakalpojumu daudzums</v>
      </c>
    </row>
    <row r="2" spans="1:13" s="1" customFormat="1" ht="24" customHeight="1">
      <c r="A2" s="1" t="str">
        <f>+Nodrosinajums!A2</f>
        <v>Krimuldas novads</v>
      </c>
      <c r="B2" s="47" t="str">
        <f>+A2</f>
        <v>Krimuldas novads</v>
      </c>
    </row>
    <row r="3" spans="1:13" s="1" customFormat="1" ht="28.5" customHeight="1">
      <c r="A3" s="1" t="s">
        <v>49</v>
      </c>
      <c r="B3" s="47" t="str">
        <f>Nodrosinajums!B6</f>
        <v>Inciems</v>
      </c>
    </row>
    <row r="4" spans="1:13" s="7" customFormat="1" ht="15.75">
      <c r="A4" s="87" t="s">
        <v>1</v>
      </c>
      <c r="B4" s="87" t="s">
        <v>16</v>
      </c>
      <c r="C4" s="87"/>
      <c r="D4" s="121" t="s">
        <v>10</v>
      </c>
      <c r="E4" s="122"/>
      <c r="F4" s="122"/>
      <c r="G4" s="122"/>
      <c r="H4" s="123"/>
      <c r="I4" s="123"/>
      <c r="J4" s="123"/>
      <c r="K4" s="123"/>
      <c r="L4" s="123"/>
      <c r="M4" s="124"/>
    </row>
    <row r="5" spans="1:13" s="7" customFormat="1" ht="33" customHeight="1">
      <c r="A5" s="87"/>
      <c r="B5" s="87"/>
      <c r="C5" s="87"/>
      <c r="D5" s="87" t="s">
        <v>17</v>
      </c>
      <c r="E5" s="87"/>
      <c r="F5" s="101" t="s">
        <v>23</v>
      </c>
      <c r="G5" s="103"/>
      <c r="H5" s="87" t="s">
        <v>20</v>
      </c>
      <c r="I5" s="87"/>
      <c r="J5" s="87"/>
      <c r="K5" s="87"/>
      <c r="L5" s="87"/>
      <c r="M5" s="87"/>
    </row>
    <row r="6" spans="1:13" s="7" customFormat="1" ht="33" customHeight="1">
      <c r="A6" s="87"/>
      <c r="B6" s="87"/>
      <c r="C6" s="87"/>
      <c r="D6" s="83" t="s">
        <v>18</v>
      </c>
      <c r="E6" s="83" t="s">
        <v>19</v>
      </c>
      <c r="F6" s="83" t="s">
        <v>18</v>
      </c>
      <c r="G6" s="83" t="s">
        <v>7</v>
      </c>
      <c r="H6" s="83" t="s">
        <v>22</v>
      </c>
      <c r="I6" s="83" t="s">
        <v>19</v>
      </c>
      <c r="J6" s="83" t="s">
        <v>21</v>
      </c>
      <c r="K6" s="83" t="s">
        <v>24</v>
      </c>
      <c r="L6" s="101" t="s">
        <v>42</v>
      </c>
      <c r="M6" s="116"/>
    </row>
    <row r="7" spans="1:13" s="6" customFormat="1" ht="15.75">
      <c r="A7" s="133"/>
      <c r="B7" s="68">
        <v>2008</v>
      </c>
      <c r="C7" s="69"/>
      <c r="D7" s="69">
        <v>21311</v>
      </c>
      <c r="E7" s="70">
        <f t="shared" ref="E7:E9" si="0">+D7/365</f>
        <v>58.386301369863013</v>
      </c>
      <c r="F7" s="71">
        <f>D7-H7</f>
        <v>0</v>
      </c>
      <c r="G7" s="134">
        <f t="shared" ref="G7:G9" si="1">+F7/D7</f>
        <v>0</v>
      </c>
      <c r="H7" s="71">
        <f>J7+L7</f>
        <v>21311</v>
      </c>
      <c r="I7" s="70">
        <f>+H7/365</f>
        <v>58.386301369863013</v>
      </c>
      <c r="J7" s="71">
        <v>12893</v>
      </c>
      <c r="K7" s="70">
        <f>+J7/365/Nodrosinajums!$F$6*1000</f>
        <v>100.06597074003648</v>
      </c>
      <c r="L7" s="135">
        <f>7055+1363</f>
        <v>8418</v>
      </c>
      <c r="M7" s="136"/>
    </row>
    <row r="8" spans="1:13" s="6" customFormat="1" ht="15.75">
      <c r="A8" s="137"/>
      <c r="B8" s="68">
        <v>2009</v>
      </c>
      <c r="C8" s="69"/>
      <c r="D8" s="69">
        <v>17696</v>
      </c>
      <c r="E8" s="70">
        <f t="shared" si="0"/>
        <v>48.482191780821921</v>
      </c>
      <c r="F8" s="71">
        <f t="shared" ref="F8:F9" si="2">D8-H8</f>
        <v>0</v>
      </c>
      <c r="G8" s="134">
        <f t="shared" si="1"/>
        <v>0</v>
      </c>
      <c r="H8" s="71">
        <f>J8+L8</f>
        <v>17696</v>
      </c>
      <c r="I8" s="70">
        <f t="shared" ref="I8:I9" si="3">+H8/365</f>
        <v>48.482191780821921</v>
      </c>
      <c r="J8" s="71">
        <v>10706</v>
      </c>
      <c r="K8" s="70">
        <f>+J8/365/Nodrosinajums!$F$6*1000</f>
        <v>83.092087391827391</v>
      </c>
      <c r="L8" s="135">
        <f>5859+1131</f>
        <v>6990</v>
      </c>
      <c r="M8" s="136"/>
    </row>
    <row r="9" spans="1:13" s="6" customFormat="1" ht="15.75">
      <c r="A9" s="138"/>
      <c r="B9" s="68">
        <v>2010</v>
      </c>
      <c r="C9" s="69"/>
      <c r="D9" s="75">
        <v>21110</v>
      </c>
      <c r="E9" s="70">
        <f t="shared" si="0"/>
        <v>57.835616438356162</v>
      </c>
      <c r="F9" s="71">
        <f t="shared" si="2"/>
        <v>0</v>
      </c>
      <c r="G9" s="134">
        <f t="shared" si="1"/>
        <v>0</v>
      </c>
      <c r="H9" s="71">
        <f>J9+L9</f>
        <v>21110</v>
      </c>
      <c r="I9" s="70">
        <f t="shared" si="3"/>
        <v>57.835616438356162</v>
      </c>
      <c r="J9" s="71">
        <v>12772</v>
      </c>
      <c r="K9" s="70">
        <f>+J9/365/Nodrosinajums!$F$6*1000</f>
        <v>99.126857852458386</v>
      </c>
      <c r="L9" s="135">
        <f>6995+1343</f>
        <v>8338</v>
      </c>
      <c r="M9" s="136"/>
    </row>
    <row r="10" spans="1:13" s="27" customFormat="1" ht="18" customHeight="1">
      <c r="A10" s="23"/>
      <c r="B10" s="21" t="s">
        <v>109</v>
      </c>
      <c r="C10" s="25"/>
      <c r="D10" s="21"/>
      <c r="E10" s="28"/>
      <c r="F10" s="25"/>
      <c r="G10" s="29"/>
      <c r="H10" s="25"/>
      <c r="I10" s="25"/>
      <c r="J10" s="30"/>
      <c r="K10" s="28"/>
      <c r="L10" s="24"/>
      <c r="M10" s="24"/>
    </row>
    <row r="11" spans="1:13" s="4" customFormat="1" ht="33.75" hidden="1" customHeight="1">
      <c r="A11" s="15"/>
      <c r="B11" s="15"/>
      <c r="C11" s="34"/>
      <c r="D11" s="15"/>
      <c r="E11" s="33"/>
      <c r="F11" s="114"/>
      <c r="G11" s="115"/>
      <c r="H11" s="115"/>
      <c r="I11" s="115"/>
      <c r="J11" s="115"/>
      <c r="K11" s="115"/>
      <c r="L11" s="115"/>
      <c r="M11" s="115"/>
    </row>
    <row r="12" spans="1:13" s="6" customFormat="1" ht="9.75" customHeight="1">
      <c r="B12" s="5"/>
    </row>
    <row r="13" spans="1:13" s="7" customFormat="1" ht="15.75">
      <c r="A13" s="87" t="s">
        <v>1</v>
      </c>
      <c r="B13" s="87" t="s">
        <v>16</v>
      </c>
      <c r="C13" s="87"/>
      <c r="D13" s="121" t="s">
        <v>11</v>
      </c>
      <c r="E13" s="122"/>
      <c r="F13" s="122"/>
      <c r="G13" s="122"/>
      <c r="H13" s="123"/>
      <c r="I13" s="123"/>
      <c r="J13" s="123"/>
      <c r="K13" s="123"/>
      <c r="L13" s="123"/>
      <c r="M13" s="124"/>
    </row>
    <row r="14" spans="1:13" s="7" customFormat="1" ht="57.75" customHeight="1">
      <c r="A14" s="87"/>
      <c r="B14" s="87"/>
      <c r="C14" s="87"/>
      <c r="D14" s="87" t="s">
        <v>41</v>
      </c>
      <c r="E14" s="87"/>
      <c r="F14" s="101" t="s">
        <v>25</v>
      </c>
      <c r="G14" s="103"/>
      <c r="H14" s="87" t="s">
        <v>27</v>
      </c>
      <c r="I14" s="87"/>
      <c r="J14" s="87"/>
      <c r="K14" s="87"/>
      <c r="L14" s="87"/>
      <c r="M14" s="87"/>
    </row>
    <row r="15" spans="1:13" s="7" customFormat="1" ht="33" customHeight="1">
      <c r="A15" s="87"/>
      <c r="B15" s="87"/>
      <c r="C15" s="87"/>
      <c r="D15" s="83" t="s">
        <v>18</v>
      </c>
      <c r="E15" s="83" t="s">
        <v>19</v>
      </c>
      <c r="F15" s="83" t="s">
        <v>18</v>
      </c>
      <c r="G15" s="83" t="s">
        <v>7</v>
      </c>
      <c r="H15" s="83" t="s">
        <v>22</v>
      </c>
      <c r="I15" s="83" t="str">
        <f>+I6</f>
        <v>m3/dnn</v>
      </c>
      <c r="J15" s="83" t="s">
        <v>28</v>
      </c>
      <c r="K15" s="83" t="s">
        <v>24</v>
      </c>
      <c r="L15" s="101" t="s">
        <v>43</v>
      </c>
      <c r="M15" s="116"/>
    </row>
    <row r="16" spans="1:13" s="6" customFormat="1" ht="15.75">
      <c r="A16" s="133"/>
      <c r="B16" s="68">
        <v>2008</v>
      </c>
      <c r="C16" s="69"/>
      <c r="D16" s="139">
        <v>16886</v>
      </c>
      <c r="E16" s="140">
        <f>+D16/365</f>
        <v>46.263013698630139</v>
      </c>
      <c r="F16" s="139">
        <f>+D16-H16</f>
        <v>1674.1983002832876</v>
      </c>
      <c r="G16" s="134">
        <f t="shared" ref="G16:G18" si="4">+F16/D16</f>
        <v>9.9147121892886866E-2</v>
      </c>
      <c r="H16" s="71">
        <f>+J16+L16</f>
        <v>15211.801699716712</v>
      </c>
      <c r="I16" s="70">
        <f>+H16/365</f>
        <v>41.676169040319763</v>
      </c>
      <c r="J16" s="71">
        <f>+K16*365*Nodrosinajums!J6/1000</f>
        <v>11833.801699716712</v>
      </c>
      <c r="K16" s="70">
        <f>+K7</f>
        <v>100.06597074003648</v>
      </c>
      <c r="L16" s="135">
        <f>2743+635</f>
        <v>3378</v>
      </c>
      <c r="M16" s="136"/>
    </row>
    <row r="17" spans="1:13" s="6" customFormat="1" ht="15.75">
      <c r="A17" s="137"/>
      <c r="B17" s="68">
        <v>2009</v>
      </c>
      <c r="C17" s="69"/>
      <c r="D17" s="139">
        <v>14295</v>
      </c>
      <c r="E17" s="140">
        <f t="shared" ref="E17:E18" si="5">+D17/365</f>
        <v>39.164383561643838</v>
      </c>
      <c r="F17" s="139">
        <f t="shared" ref="F17:F18" si="6">+D17-H17</f>
        <v>1609.5297450424914</v>
      </c>
      <c r="G17" s="134">
        <f t="shared" si="4"/>
        <v>0.11259389612049607</v>
      </c>
      <c r="H17" s="71">
        <f t="shared" ref="H17:H18" si="7">+J17+L17</f>
        <v>12685.470254957509</v>
      </c>
      <c r="I17" s="70">
        <f t="shared" ref="I17:I18" si="8">+H17/365</f>
        <v>34.754713027280843</v>
      </c>
      <c r="J17" s="71">
        <f>+K17*365*Nodrosinajums!J6/1000</f>
        <v>9826.4702549575086</v>
      </c>
      <c r="K17" s="70">
        <f t="shared" ref="K17:K18" si="9">+K8</f>
        <v>83.092087391827391</v>
      </c>
      <c r="L17" s="135">
        <f>2316+543</f>
        <v>2859</v>
      </c>
      <c r="M17" s="136"/>
    </row>
    <row r="18" spans="1:13" s="6" customFormat="1" ht="15.75">
      <c r="A18" s="138"/>
      <c r="B18" s="68">
        <v>2010</v>
      </c>
      <c r="C18" s="69"/>
      <c r="D18" s="139">
        <v>20216</v>
      </c>
      <c r="E18" s="140">
        <f t="shared" si="5"/>
        <v>55.386301369863013</v>
      </c>
      <c r="F18" s="139">
        <f t="shared" si="6"/>
        <v>4450.2577903682704</v>
      </c>
      <c r="G18" s="134">
        <f t="shared" si="4"/>
        <v>0.22013542690780918</v>
      </c>
      <c r="H18" s="71">
        <f t="shared" si="7"/>
        <v>15765.74220963173</v>
      </c>
      <c r="I18" s="70">
        <f t="shared" si="8"/>
        <v>43.193814272963643</v>
      </c>
      <c r="J18" s="71">
        <f>+K18*365*Nodrosinajums!J6/1000</f>
        <v>11722.74220963173</v>
      </c>
      <c r="K18" s="70">
        <f t="shared" si="9"/>
        <v>99.126857852458386</v>
      </c>
      <c r="L18" s="135">
        <f>3436+607</f>
        <v>4043</v>
      </c>
      <c r="M18" s="136"/>
    </row>
    <row r="19" spans="1:13" s="6" customFormat="1" ht="17.25" customHeight="1">
      <c r="A19" s="15"/>
      <c r="B19" s="21" t="s">
        <v>110</v>
      </c>
      <c r="C19" s="17"/>
      <c r="D19" s="21"/>
      <c r="E19" s="19"/>
      <c r="F19" s="18"/>
      <c r="G19" s="18"/>
      <c r="H19" s="20"/>
      <c r="I19" s="20"/>
      <c r="J19" s="20"/>
      <c r="K19" s="19"/>
      <c r="L19" s="16"/>
      <c r="M19" s="16"/>
    </row>
    <row r="20" spans="1:13" s="4" customFormat="1" ht="15.75" hidden="1">
      <c r="A20" s="15"/>
      <c r="B20" s="36"/>
      <c r="C20" s="34"/>
      <c r="D20" s="36"/>
      <c r="E20" s="33"/>
      <c r="F20" s="33"/>
      <c r="G20" s="36"/>
      <c r="H20" s="34"/>
      <c r="I20" s="34"/>
      <c r="J20" s="34"/>
      <c r="K20" s="37"/>
      <c r="L20" s="34"/>
      <c r="M20" s="34"/>
    </row>
    <row r="21" spans="1:13" s="6" customFormat="1" ht="30.75" customHeight="1">
      <c r="B21" s="47" t="str">
        <f>Nodrosinajums!B7</f>
        <v>Sunīši</v>
      </c>
    </row>
    <row r="22" spans="1:13" s="7" customFormat="1" ht="15.75">
      <c r="A22" s="87" t="s">
        <v>1</v>
      </c>
      <c r="B22" s="87" t="s">
        <v>16</v>
      </c>
      <c r="C22" s="87"/>
      <c r="D22" s="121" t="s">
        <v>10</v>
      </c>
      <c r="E22" s="122"/>
      <c r="F22" s="122"/>
      <c r="G22" s="122"/>
      <c r="H22" s="123"/>
      <c r="I22" s="123"/>
      <c r="J22" s="123"/>
      <c r="K22" s="123"/>
      <c r="L22" s="123"/>
      <c r="M22" s="124"/>
    </row>
    <row r="23" spans="1:13" s="7" customFormat="1" ht="33" customHeight="1">
      <c r="A23" s="87"/>
      <c r="B23" s="87"/>
      <c r="C23" s="87"/>
      <c r="D23" s="87" t="s">
        <v>17</v>
      </c>
      <c r="E23" s="87"/>
      <c r="F23" s="101" t="s">
        <v>23</v>
      </c>
      <c r="G23" s="103"/>
      <c r="H23" s="87" t="s">
        <v>20</v>
      </c>
      <c r="I23" s="87"/>
      <c r="J23" s="87"/>
      <c r="K23" s="87"/>
      <c r="L23" s="87"/>
      <c r="M23" s="87"/>
    </row>
    <row r="24" spans="1:13" s="7" customFormat="1" ht="33" customHeight="1">
      <c r="A24" s="87"/>
      <c r="B24" s="87"/>
      <c r="C24" s="87"/>
      <c r="D24" s="83" t="s">
        <v>18</v>
      </c>
      <c r="E24" s="83" t="s">
        <v>19</v>
      </c>
      <c r="F24" s="83" t="s">
        <v>18</v>
      </c>
      <c r="G24" s="83" t="s">
        <v>7</v>
      </c>
      <c r="H24" s="83" t="s">
        <v>22</v>
      </c>
      <c r="I24" s="83" t="s">
        <v>19</v>
      </c>
      <c r="J24" s="83" t="s">
        <v>21</v>
      </c>
      <c r="K24" s="83" t="s">
        <v>24</v>
      </c>
      <c r="L24" s="101" t="s">
        <v>44</v>
      </c>
      <c r="M24" s="116"/>
    </row>
    <row r="25" spans="1:13" s="6" customFormat="1" ht="15.75">
      <c r="A25" s="133"/>
      <c r="B25" s="68">
        <v>2008</v>
      </c>
      <c r="C25" s="69"/>
      <c r="D25" s="69">
        <v>20584</v>
      </c>
      <c r="E25" s="70">
        <f>+D25/365</f>
        <v>56.394520547945206</v>
      </c>
      <c r="F25" s="71">
        <f>+D25-H25</f>
        <v>0</v>
      </c>
      <c r="G25" s="72">
        <f>+F25/D25</f>
        <v>0</v>
      </c>
      <c r="H25" s="71">
        <f>J25+L25</f>
        <v>20584</v>
      </c>
      <c r="I25" s="70">
        <f>+H25/365</f>
        <v>56.394520547945206</v>
      </c>
      <c r="J25" s="71">
        <v>16843</v>
      </c>
      <c r="K25" s="70">
        <f>+J25/365/Nodrosinajums!$F$7*1000</f>
        <v>151.29575567033459</v>
      </c>
      <c r="L25" s="141">
        <f>3078+663</f>
        <v>3741</v>
      </c>
      <c r="M25" s="74"/>
    </row>
    <row r="26" spans="1:13" s="6" customFormat="1" ht="15.75">
      <c r="A26" s="137"/>
      <c r="B26" s="68">
        <v>2009</v>
      </c>
      <c r="C26" s="69"/>
      <c r="D26" s="69">
        <v>19746</v>
      </c>
      <c r="E26" s="70">
        <f t="shared" ref="E26:E27" si="10">+D26/365</f>
        <v>54.098630136986301</v>
      </c>
      <c r="F26" s="71">
        <f t="shared" ref="F26:F27" si="11">+D26-H26</f>
        <v>0</v>
      </c>
      <c r="G26" s="72">
        <f t="shared" ref="G26:G27" si="12">+F26/D26</f>
        <v>0</v>
      </c>
      <c r="H26" s="71">
        <f t="shared" ref="H26:H27" si="13">J26+L26</f>
        <v>19746</v>
      </c>
      <c r="I26" s="70">
        <f t="shared" ref="I26:I27" si="14">+H26/365</f>
        <v>54.098630136986301</v>
      </c>
      <c r="J26" s="71">
        <v>16089</v>
      </c>
      <c r="K26" s="70">
        <f>+J26/365/Nodrosinajums!$F$7*1000</f>
        <v>144.52279362227713</v>
      </c>
      <c r="L26" s="141">
        <f>2893+764</f>
        <v>3657</v>
      </c>
      <c r="M26" s="74"/>
    </row>
    <row r="27" spans="1:13" s="6" customFormat="1" ht="15.75">
      <c r="A27" s="138"/>
      <c r="B27" s="68">
        <v>2010</v>
      </c>
      <c r="C27" s="69"/>
      <c r="D27" s="75">
        <v>19856</v>
      </c>
      <c r="E27" s="70">
        <f t="shared" si="10"/>
        <v>54.4</v>
      </c>
      <c r="F27" s="71">
        <f t="shared" si="11"/>
        <v>0</v>
      </c>
      <c r="G27" s="72">
        <f t="shared" si="12"/>
        <v>0</v>
      </c>
      <c r="H27" s="71">
        <f t="shared" si="13"/>
        <v>19856</v>
      </c>
      <c r="I27" s="70">
        <f t="shared" si="14"/>
        <v>54.4</v>
      </c>
      <c r="J27" s="71">
        <v>15773</v>
      </c>
      <c r="K27" s="70">
        <f>+J27/365/Nodrosinajums!$F$7*1000</f>
        <v>141.68425780372783</v>
      </c>
      <c r="L27" s="141">
        <f>3074+1009</f>
        <v>4083</v>
      </c>
      <c r="M27" s="76"/>
    </row>
    <row r="28" spans="1:13" s="6" customFormat="1" ht="18.75" customHeight="1">
      <c r="A28" s="15"/>
      <c r="B28" s="21" t="s">
        <v>51</v>
      </c>
      <c r="C28" s="17"/>
      <c r="D28" s="18"/>
      <c r="E28" s="19"/>
      <c r="F28" s="20"/>
      <c r="G28" s="22"/>
      <c r="H28" s="20"/>
      <c r="I28" s="20"/>
      <c r="J28" s="20"/>
      <c r="K28" s="19"/>
      <c r="L28" s="20"/>
      <c r="M28" s="31"/>
    </row>
    <row r="29" spans="1:13" s="4" customFormat="1" ht="15.75">
      <c r="A29" s="15"/>
      <c r="B29" s="34"/>
      <c r="C29" s="34"/>
      <c r="D29" s="34"/>
      <c r="E29" s="33"/>
      <c r="F29" s="35"/>
      <c r="G29" s="35"/>
      <c r="H29" s="34"/>
      <c r="I29" s="34"/>
      <c r="J29" s="34"/>
      <c r="K29" s="35"/>
      <c r="L29" s="34"/>
      <c r="M29" s="34"/>
    </row>
    <row r="30" spans="1:13" s="6" customFormat="1" ht="5.25" customHeight="1">
      <c r="B30" s="5"/>
    </row>
    <row r="31" spans="1:13" s="7" customFormat="1" ht="15.75">
      <c r="A31" s="87" t="s">
        <v>1</v>
      </c>
      <c r="B31" s="87" t="s">
        <v>16</v>
      </c>
      <c r="C31" s="87"/>
      <c r="D31" s="121" t="s">
        <v>11</v>
      </c>
      <c r="E31" s="122"/>
      <c r="F31" s="122"/>
      <c r="G31" s="122"/>
      <c r="H31" s="123"/>
      <c r="I31" s="123"/>
      <c r="J31" s="123"/>
      <c r="K31" s="123"/>
      <c r="L31" s="123"/>
      <c r="M31" s="124"/>
    </row>
    <row r="32" spans="1:13" s="7" customFormat="1" ht="33" customHeight="1">
      <c r="A32" s="87"/>
      <c r="B32" s="87"/>
      <c r="C32" s="87"/>
      <c r="D32" s="87" t="s">
        <v>26</v>
      </c>
      <c r="E32" s="87"/>
      <c r="F32" s="101" t="s">
        <v>25</v>
      </c>
      <c r="G32" s="103"/>
      <c r="H32" s="87" t="s">
        <v>27</v>
      </c>
      <c r="I32" s="87"/>
      <c r="J32" s="87"/>
      <c r="K32" s="87"/>
      <c r="L32" s="87"/>
      <c r="M32" s="87"/>
    </row>
    <row r="33" spans="1:14" s="7" customFormat="1" ht="33" customHeight="1">
      <c r="A33" s="87"/>
      <c r="B33" s="87"/>
      <c r="C33" s="87"/>
      <c r="D33" s="83" t="s">
        <v>18</v>
      </c>
      <c r="E33" s="83" t="s">
        <v>19</v>
      </c>
      <c r="F33" s="83" t="s">
        <v>18</v>
      </c>
      <c r="G33" s="83" t="s">
        <v>7</v>
      </c>
      <c r="H33" s="83" t="s">
        <v>22</v>
      </c>
      <c r="I33" s="83" t="s">
        <v>19</v>
      </c>
      <c r="J33" s="83" t="s">
        <v>28</v>
      </c>
      <c r="K33" s="83" t="s">
        <v>24</v>
      </c>
      <c r="L33" s="101" t="s">
        <v>43</v>
      </c>
      <c r="M33" s="103"/>
    </row>
    <row r="34" spans="1:14" s="6" customFormat="1" ht="15.75">
      <c r="A34" s="133"/>
      <c r="B34" s="68">
        <v>2008</v>
      </c>
      <c r="C34" s="69"/>
      <c r="D34" s="71">
        <v>17501</v>
      </c>
      <c r="E34" s="70">
        <f>+D34/365</f>
        <v>47.947945205479449</v>
      </c>
      <c r="F34" s="139">
        <f>D34-H34</f>
        <v>0</v>
      </c>
      <c r="G34" s="142">
        <f>F34/D34</f>
        <v>0</v>
      </c>
      <c r="H34" s="71">
        <f>J34+L34</f>
        <v>17501</v>
      </c>
      <c r="I34" s="70">
        <f>+H34/365</f>
        <v>47.947945205479449</v>
      </c>
      <c r="J34" s="71">
        <v>13918</v>
      </c>
      <c r="K34" s="70">
        <f>+J34/365/Nodrosinajums!J7*1000</f>
        <v>143.89247867666063</v>
      </c>
      <c r="L34" s="141">
        <f>2920+663</f>
        <v>3583</v>
      </c>
      <c r="M34" s="74"/>
      <c r="N34" s="77"/>
    </row>
    <row r="35" spans="1:14" s="6" customFormat="1" ht="15.75">
      <c r="A35" s="137"/>
      <c r="B35" s="68">
        <v>2009</v>
      </c>
      <c r="C35" s="69"/>
      <c r="D35" s="71">
        <v>16896</v>
      </c>
      <c r="E35" s="70">
        <f t="shared" ref="E35:E36" si="15">+D35/365</f>
        <v>46.290410958904111</v>
      </c>
      <c r="F35" s="139">
        <f t="shared" ref="F35:F36" si="16">D35-H35</f>
        <v>0</v>
      </c>
      <c r="G35" s="142">
        <f t="shared" ref="G35:G36" si="17">F35/D35</f>
        <v>0</v>
      </c>
      <c r="H35" s="71">
        <f t="shared" ref="H35:H36" si="18">J35+L35</f>
        <v>16896</v>
      </c>
      <c r="I35" s="70">
        <f t="shared" ref="I35:I36" si="19">+H35/365</f>
        <v>46.290410958904111</v>
      </c>
      <c r="J35" s="71">
        <v>13312</v>
      </c>
      <c r="K35" s="70">
        <f>+J35/365/Nodrosinajums!J7*1000</f>
        <v>137.62729387438614</v>
      </c>
      <c r="L35" s="141">
        <f>2820+764</f>
        <v>3584</v>
      </c>
      <c r="M35" s="74"/>
      <c r="N35" s="77"/>
    </row>
    <row r="36" spans="1:14" s="6" customFormat="1" ht="15.75">
      <c r="A36" s="138"/>
      <c r="B36" s="68">
        <v>2010</v>
      </c>
      <c r="C36" s="69"/>
      <c r="D36" s="71">
        <v>17602</v>
      </c>
      <c r="E36" s="70">
        <f t="shared" si="15"/>
        <v>48.224657534246575</v>
      </c>
      <c r="F36" s="139">
        <f t="shared" si="16"/>
        <v>0</v>
      </c>
      <c r="G36" s="142">
        <f t="shared" si="17"/>
        <v>0</v>
      </c>
      <c r="H36" s="71">
        <f t="shared" si="18"/>
        <v>17602</v>
      </c>
      <c r="I36" s="70">
        <f t="shared" si="19"/>
        <v>48.224657534246575</v>
      </c>
      <c r="J36" s="71">
        <v>13545</v>
      </c>
      <c r="K36" s="70">
        <f>+J36/365/Nodrosinajums!J7*1000</f>
        <v>140.0361850607392</v>
      </c>
      <c r="L36" s="141">
        <f>3048+1009</f>
        <v>4057</v>
      </c>
      <c r="M36" s="74"/>
      <c r="N36" s="77"/>
    </row>
    <row r="37" spans="1:14" s="27" customFormat="1" ht="23.25" customHeight="1">
      <c r="A37" s="23"/>
      <c r="B37" s="113" t="s">
        <v>50</v>
      </c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26"/>
    </row>
    <row r="38" spans="1:14" s="4" customFormat="1" ht="15.75" hidden="1">
      <c r="A38" s="15"/>
      <c r="B38" s="36"/>
      <c r="C38" s="34"/>
      <c r="D38" s="36"/>
      <c r="E38" s="33"/>
      <c r="F38" s="33"/>
      <c r="G38" s="36"/>
      <c r="H38" s="34"/>
      <c r="I38" s="34"/>
      <c r="J38" s="34"/>
      <c r="K38" s="37"/>
      <c r="L38" s="34"/>
      <c r="M38" s="34"/>
    </row>
    <row r="39" spans="1:14" ht="28.5" customHeight="1">
      <c r="B39" s="47" t="str">
        <f>Nodrosinajums!B8</f>
        <v>Turaida</v>
      </c>
    </row>
    <row r="40" spans="1:14" s="7" customFormat="1" ht="15.75">
      <c r="A40" s="87" t="s">
        <v>1</v>
      </c>
      <c r="B40" s="87" t="s">
        <v>16</v>
      </c>
      <c r="C40" s="87"/>
      <c r="D40" s="121" t="s">
        <v>10</v>
      </c>
      <c r="E40" s="122"/>
      <c r="F40" s="122"/>
      <c r="G40" s="122"/>
      <c r="H40" s="123"/>
      <c r="I40" s="123"/>
      <c r="J40" s="123"/>
      <c r="K40" s="123"/>
      <c r="L40" s="123"/>
      <c r="M40" s="124"/>
    </row>
    <row r="41" spans="1:14" s="7" customFormat="1" ht="33" customHeight="1">
      <c r="A41" s="87"/>
      <c r="B41" s="87"/>
      <c r="C41" s="87"/>
      <c r="D41" s="87" t="s">
        <v>17</v>
      </c>
      <c r="E41" s="87"/>
      <c r="F41" s="101" t="s">
        <v>23</v>
      </c>
      <c r="G41" s="103"/>
      <c r="H41" s="87" t="s">
        <v>20</v>
      </c>
      <c r="I41" s="87"/>
      <c r="J41" s="87"/>
      <c r="K41" s="87"/>
      <c r="L41" s="87"/>
      <c r="M41" s="87"/>
    </row>
    <row r="42" spans="1:14" s="7" customFormat="1" ht="33" customHeight="1">
      <c r="A42" s="87"/>
      <c r="B42" s="87"/>
      <c r="C42" s="87"/>
      <c r="D42" s="83" t="s">
        <v>18</v>
      </c>
      <c r="E42" s="83" t="s">
        <v>19</v>
      </c>
      <c r="F42" s="83" t="s">
        <v>18</v>
      </c>
      <c r="G42" s="83" t="s">
        <v>7</v>
      </c>
      <c r="H42" s="83" t="s">
        <v>22</v>
      </c>
      <c r="I42" s="83" t="s">
        <v>19</v>
      </c>
      <c r="J42" s="83" t="s">
        <v>21</v>
      </c>
      <c r="K42" s="83" t="s">
        <v>24</v>
      </c>
      <c r="L42" s="101" t="s">
        <v>44</v>
      </c>
      <c r="M42" s="116"/>
    </row>
    <row r="43" spans="1:14" s="6" customFormat="1" ht="15.75">
      <c r="A43" s="133"/>
      <c r="B43" s="68">
        <v>2008</v>
      </c>
      <c r="C43" s="68"/>
      <c r="D43" s="68">
        <v>5661</v>
      </c>
      <c r="E43" s="140">
        <f>+D43/365</f>
        <v>15.509589041095891</v>
      </c>
      <c r="F43" s="139">
        <f>D43-H43</f>
        <v>34</v>
      </c>
      <c r="G43" s="142">
        <f t="shared" ref="G43:G45" si="20">+F43/D43</f>
        <v>6.006006006006006E-3</v>
      </c>
      <c r="H43" s="139">
        <v>5627</v>
      </c>
      <c r="I43" s="140">
        <f t="shared" ref="I43:I44" si="21">+H43/365</f>
        <v>15.416438356164383</v>
      </c>
      <c r="J43" s="139">
        <v>5627</v>
      </c>
      <c r="K43" s="140">
        <f>+J43/365/Nodrosinajums!F8*1000</f>
        <v>140.14943960149441</v>
      </c>
      <c r="L43" s="144">
        <v>0</v>
      </c>
      <c r="M43" s="145"/>
    </row>
    <row r="44" spans="1:14" s="6" customFormat="1" ht="15.75">
      <c r="A44" s="137"/>
      <c r="B44" s="68">
        <v>2009</v>
      </c>
      <c r="C44" s="68"/>
      <c r="D44" s="68">
        <v>4976</v>
      </c>
      <c r="E44" s="140">
        <f t="shared" ref="E44:E45" si="22">+D44/365</f>
        <v>13.632876712328768</v>
      </c>
      <c r="F44" s="139">
        <f t="shared" ref="F44:F45" si="23">D44-H44</f>
        <v>483</v>
      </c>
      <c r="G44" s="142">
        <f t="shared" si="20"/>
        <v>9.7065916398713828E-2</v>
      </c>
      <c r="H44" s="139">
        <v>4493</v>
      </c>
      <c r="I44" s="140">
        <f t="shared" si="21"/>
        <v>12.30958904109589</v>
      </c>
      <c r="J44" s="139">
        <v>4493</v>
      </c>
      <c r="K44" s="140">
        <f>+J44/365/Nodrosinajums!F8*1000</f>
        <v>111.90535491905354</v>
      </c>
      <c r="L44" s="144">
        <v>0</v>
      </c>
      <c r="M44" s="145"/>
    </row>
    <row r="45" spans="1:14" s="6" customFormat="1" ht="15.75">
      <c r="A45" s="138"/>
      <c r="B45" s="68">
        <v>2010</v>
      </c>
      <c r="C45" s="68"/>
      <c r="D45" s="68">
        <v>6378</v>
      </c>
      <c r="E45" s="140">
        <f t="shared" si="22"/>
        <v>17.473972602739725</v>
      </c>
      <c r="F45" s="139">
        <f t="shared" si="23"/>
        <v>479</v>
      </c>
      <c r="G45" s="142">
        <f t="shared" si="20"/>
        <v>7.5101912825337097E-2</v>
      </c>
      <c r="H45" s="139">
        <v>5899</v>
      </c>
      <c r="I45" s="140">
        <f>+H45/365</f>
        <v>16.161643835616438</v>
      </c>
      <c r="J45" s="139">
        <v>5899</v>
      </c>
      <c r="K45" s="140">
        <f>+J45/365/Nodrosinajums!F8*1000</f>
        <v>146.92403486924036</v>
      </c>
      <c r="L45" s="144">
        <v>0</v>
      </c>
      <c r="M45" s="145"/>
    </row>
    <row r="46" spans="1:14" s="6" customFormat="1" ht="6.75" customHeight="1">
      <c r="A46" s="15"/>
      <c r="B46" s="21"/>
      <c r="C46" s="17"/>
      <c r="D46" s="18"/>
      <c r="E46" s="19"/>
      <c r="F46" s="20"/>
      <c r="G46" s="22"/>
      <c r="H46" s="20"/>
      <c r="I46" s="20"/>
      <c r="J46" s="20"/>
      <c r="K46" s="19"/>
      <c r="L46" s="20"/>
      <c r="M46" s="31"/>
    </row>
    <row r="47" spans="1:14" s="4" customFormat="1" ht="6.75" customHeight="1">
      <c r="A47" s="15"/>
      <c r="B47" s="33"/>
      <c r="C47" s="34"/>
      <c r="D47" s="34"/>
      <c r="E47" s="33"/>
      <c r="F47" s="33"/>
      <c r="G47" s="35"/>
      <c r="H47" s="34"/>
      <c r="I47" s="34"/>
      <c r="J47" s="34"/>
      <c r="K47" s="35"/>
      <c r="L47" s="34"/>
      <c r="M47" s="34"/>
    </row>
    <row r="48" spans="1:14" s="6" customFormat="1" ht="5.25" customHeight="1">
      <c r="B48" s="5"/>
    </row>
    <row r="49" spans="1:14" s="7" customFormat="1" ht="15.75">
      <c r="A49" s="87" t="s">
        <v>1</v>
      </c>
      <c r="B49" s="87" t="s">
        <v>16</v>
      </c>
      <c r="C49" s="87"/>
      <c r="D49" s="121" t="s">
        <v>11</v>
      </c>
      <c r="E49" s="122"/>
      <c r="F49" s="122"/>
      <c r="G49" s="122"/>
      <c r="H49" s="123"/>
      <c r="I49" s="123"/>
      <c r="J49" s="123"/>
      <c r="K49" s="123"/>
      <c r="L49" s="123"/>
      <c r="M49" s="124"/>
    </row>
    <row r="50" spans="1:14" s="7" customFormat="1" ht="33" customHeight="1">
      <c r="A50" s="87"/>
      <c r="B50" s="87"/>
      <c r="C50" s="87"/>
      <c r="D50" s="87" t="s">
        <v>26</v>
      </c>
      <c r="E50" s="87"/>
      <c r="F50" s="101" t="s">
        <v>25</v>
      </c>
      <c r="G50" s="103"/>
      <c r="H50" s="87" t="s">
        <v>27</v>
      </c>
      <c r="I50" s="87"/>
      <c r="J50" s="87"/>
      <c r="K50" s="87"/>
      <c r="L50" s="87"/>
      <c r="M50" s="87"/>
    </row>
    <row r="51" spans="1:14" s="7" customFormat="1" ht="33" customHeight="1">
      <c r="A51" s="87"/>
      <c r="B51" s="87"/>
      <c r="C51" s="87"/>
      <c r="D51" s="83" t="s">
        <v>18</v>
      </c>
      <c r="E51" s="83" t="s">
        <v>19</v>
      </c>
      <c r="F51" s="83" t="s">
        <v>18</v>
      </c>
      <c r="G51" s="83" t="s">
        <v>7</v>
      </c>
      <c r="H51" s="83" t="s">
        <v>22</v>
      </c>
      <c r="I51" s="83" t="str">
        <f>+I42</f>
        <v>m3/dnn</v>
      </c>
      <c r="J51" s="83" t="s">
        <v>28</v>
      </c>
      <c r="K51" s="83" t="s">
        <v>24</v>
      </c>
      <c r="L51" s="101" t="s">
        <v>43</v>
      </c>
      <c r="M51" s="103"/>
    </row>
    <row r="52" spans="1:14" s="6" customFormat="1" ht="15.75">
      <c r="A52" s="133"/>
      <c r="B52" s="68">
        <v>2008</v>
      </c>
      <c r="C52" s="69"/>
      <c r="D52" s="144">
        <v>5661</v>
      </c>
      <c r="E52" s="140">
        <f>+D52/365</f>
        <v>15.509589041095891</v>
      </c>
      <c r="F52" s="139">
        <f>+D52-H52</f>
        <v>1722.1</v>
      </c>
      <c r="G52" s="134">
        <f t="shared" ref="G52:G54" si="24">+F52/D52</f>
        <v>0.30420420420420419</v>
      </c>
      <c r="H52" s="71">
        <f>+J52+L52</f>
        <v>3938.9</v>
      </c>
      <c r="I52" s="70">
        <f>+H52/365</f>
        <v>10.791506849315068</v>
      </c>
      <c r="J52" s="71">
        <f>+K52*365*Nodrosinajums!J8/1000</f>
        <v>3938.9</v>
      </c>
      <c r="K52" s="70">
        <f>+K43</f>
        <v>140.14943960149441</v>
      </c>
      <c r="L52" s="144">
        <f>+L43</f>
        <v>0</v>
      </c>
      <c r="M52" s="74"/>
      <c r="N52" s="77"/>
    </row>
    <row r="53" spans="1:14" s="6" customFormat="1" ht="15.75">
      <c r="A53" s="137"/>
      <c r="B53" s="68">
        <v>2009</v>
      </c>
      <c r="C53" s="69"/>
      <c r="D53" s="144">
        <v>4493</v>
      </c>
      <c r="E53" s="140">
        <f t="shared" ref="E53:E54" si="25">+D53/365</f>
        <v>12.30958904109589</v>
      </c>
      <c r="F53" s="139">
        <f t="shared" ref="F53:F54" si="26">+D53-H53</f>
        <v>1347.9</v>
      </c>
      <c r="G53" s="134">
        <f t="shared" si="24"/>
        <v>0.30000000000000004</v>
      </c>
      <c r="H53" s="71">
        <f t="shared" ref="H53:H54" si="27">+J53+L53</f>
        <v>3145.1</v>
      </c>
      <c r="I53" s="70">
        <f t="shared" ref="I53:I54" si="28">+H53/365</f>
        <v>8.6167123287671235</v>
      </c>
      <c r="J53" s="71">
        <f>+K53*365*Nodrosinajums!J8/1000</f>
        <v>3145.1</v>
      </c>
      <c r="K53" s="70">
        <f t="shared" ref="K53:K54" si="29">+K44</f>
        <v>111.90535491905354</v>
      </c>
      <c r="L53" s="144">
        <f>+L44</f>
        <v>0</v>
      </c>
      <c r="M53" s="74"/>
      <c r="N53" s="77"/>
    </row>
    <row r="54" spans="1:14" s="6" customFormat="1" ht="15.75">
      <c r="A54" s="138"/>
      <c r="B54" s="68">
        <v>2010</v>
      </c>
      <c r="C54" s="69"/>
      <c r="D54" s="68">
        <v>6378</v>
      </c>
      <c r="E54" s="140">
        <f t="shared" si="25"/>
        <v>17.473972602739725</v>
      </c>
      <c r="F54" s="139">
        <f t="shared" si="26"/>
        <v>2248.6999999999998</v>
      </c>
      <c r="G54" s="134">
        <f t="shared" si="24"/>
        <v>0.35257133897773596</v>
      </c>
      <c r="H54" s="71">
        <f t="shared" si="27"/>
        <v>4129.3</v>
      </c>
      <c r="I54" s="70">
        <f t="shared" si="28"/>
        <v>11.313150684931507</v>
      </c>
      <c r="J54" s="71">
        <f>+K54*365*Nodrosinajums!J8/1000</f>
        <v>4129.3</v>
      </c>
      <c r="K54" s="70">
        <f t="shared" si="29"/>
        <v>146.92403486924036</v>
      </c>
      <c r="L54" s="144">
        <v>0</v>
      </c>
      <c r="M54" s="74"/>
      <c r="N54" s="77"/>
    </row>
    <row r="55" spans="1:14" s="27" customFormat="1" ht="24.75" customHeight="1">
      <c r="A55" s="23"/>
      <c r="B55" s="113" t="s">
        <v>81</v>
      </c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26"/>
    </row>
    <row r="56" spans="1:14" s="4" customFormat="1" ht="30.75" hidden="1" customHeight="1">
      <c r="A56" s="15"/>
      <c r="B56" s="46"/>
      <c r="C56" s="34"/>
      <c r="D56" s="36"/>
      <c r="E56" s="33"/>
      <c r="F56" s="33"/>
      <c r="G56" s="120"/>
      <c r="H56" s="146"/>
      <c r="I56" s="146"/>
      <c r="J56" s="146"/>
      <c r="K56" s="146"/>
      <c r="L56" s="146"/>
      <c r="M56" s="146"/>
    </row>
    <row r="57" spans="1:14" s="4" customFormat="1" ht="30" customHeight="1">
      <c r="A57" s="15"/>
      <c r="B57" s="48" t="str">
        <f>Nodrosinajums!B9</f>
        <v>Ragana</v>
      </c>
      <c r="C57" s="34"/>
      <c r="D57" s="36"/>
      <c r="E57" s="33"/>
      <c r="F57" s="33"/>
      <c r="G57" s="36"/>
      <c r="H57" s="34"/>
      <c r="I57" s="34"/>
      <c r="J57" s="34"/>
      <c r="K57" s="37"/>
      <c r="L57" s="34"/>
      <c r="M57" s="34"/>
    </row>
    <row r="58" spans="1:14" s="7" customFormat="1" ht="15.75" customHeight="1">
      <c r="A58" s="87" t="s">
        <v>1</v>
      </c>
      <c r="B58" s="87" t="s">
        <v>16</v>
      </c>
      <c r="C58" s="87"/>
      <c r="D58" s="121" t="s">
        <v>10</v>
      </c>
      <c r="E58" s="122"/>
      <c r="F58" s="122"/>
      <c r="G58" s="122"/>
      <c r="H58" s="122"/>
      <c r="I58" s="122"/>
      <c r="J58" s="122"/>
      <c r="K58" s="122"/>
      <c r="L58" s="122"/>
      <c r="M58" s="125"/>
    </row>
    <row r="59" spans="1:14" s="7" customFormat="1" ht="33" customHeight="1">
      <c r="A59" s="87"/>
      <c r="B59" s="87"/>
      <c r="C59" s="87"/>
      <c r="D59" s="87" t="s">
        <v>17</v>
      </c>
      <c r="E59" s="87"/>
      <c r="F59" s="101" t="s">
        <v>23</v>
      </c>
      <c r="G59" s="103"/>
      <c r="H59" s="87" t="s">
        <v>20</v>
      </c>
      <c r="I59" s="87"/>
      <c r="J59" s="87"/>
      <c r="K59" s="87"/>
      <c r="L59" s="87"/>
      <c r="M59" s="87"/>
    </row>
    <row r="60" spans="1:14" s="7" customFormat="1" ht="33" customHeight="1">
      <c r="A60" s="87"/>
      <c r="B60" s="87"/>
      <c r="C60" s="87"/>
      <c r="D60" s="83" t="s">
        <v>18</v>
      </c>
      <c r="E60" s="83" t="s">
        <v>19</v>
      </c>
      <c r="F60" s="83" t="s">
        <v>18</v>
      </c>
      <c r="G60" s="83" t="s">
        <v>7</v>
      </c>
      <c r="H60" s="83" t="s">
        <v>22</v>
      </c>
      <c r="I60" s="83" t="s">
        <v>19</v>
      </c>
      <c r="J60" s="83" t="s">
        <v>21</v>
      </c>
      <c r="K60" s="83" t="s">
        <v>24</v>
      </c>
      <c r="L60" s="101" t="s">
        <v>44</v>
      </c>
      <c r="M60" s="116"/>
    </row>
    <row r="61" spans="1:14" s="6" customFormat="1" ht="15.75">
      <c r="A61" s="117"/>
      <c r="B61" s="68">
        <v>2008</v>
      </c>
      <c r="C61" s="69"/>
      <c r="D61" s="69">
        <v>50751</v>
      </c>
      <c r="E61" s="70">
        <f>D61/365</f>
        <v>139.04383561643834</v>
      </c>
      <c r="F61" s="71">
        <f>D61-H61</f>
        <v>0</v>
      </c>
      <c r="G61" s="72">
        <f>F61/D61</f>
        <v>0</v>
      </c>
      <c r="H61" s="71">
        <f>J61+L61</f>
        <v>50751</v>
      </c>
      <c r="I61" s="71">
        <f>H61/365</f>
        <v>139.04383561643834</v>
      </c>
      <c r="J61" s="71">
        <v>42489</v>
      </c>
      <c r="K61" s="70">
        <f>J61/365/Nodrosinajums!F9*1000</f>
        <v>143.00764026791424</v>
      </c>
      <c r="L61" s="73">
        <f>338+7924</f>
        <v>8262</v>
      </c>
      <c r="M61" s="74"/>
    </row>
    <row r="62" spans="1:14" s="6" customFormat="1" ht="15.75">
      <c r="A62" s="118"/>
      <c r="B62" s="68">
        <v>2009</v>
      </c>
      <c r="C62" s="69"/>
      <c r="D62" s="69">
        <v>46356</v>
      </c>
      <c r="E62" s="70">
        <f t="shared" ref="E62:E63" si="30">D62/365</f>
        <v>127.0027397260274</v>
      </c>
      <c r="F62" s="71">
        <f>D62-H62</f>
        <v>0</v>
      </c>
      <c r="G62" s="72">
        <f t="shared" ref="G62:G63" si="31">F62/D62</f>
        <v>0</v>
      </c>
      <c r="H62" s="71">
        <f t="shared" ref="H62:H63" si="32">J62+L62</f>
        <v>46356</v>
      </c>
      <c r="I62" s="71">
        <f t="shared" ref="I62:I63" si="33">H62/365</f>
        <v>127.0027397260274</v>
      </c>
      <c r="J62" s="71">
        <v>40135</v>
      </c>
      <c r="K62" s="70">
        <f>J62/365/Nodrosinajums!F9*1000</f>
        <v>135.08464878327891</v>
      </c>
      <c r="L62" s="73">
        <f>306+5915</f>
        <v>6221</v>
      </c>
      <c r="M62" s="74"/>
    </row>
    <row r="63" spans="1:14" s="6" customFormat="1" ht="15.75">
      <c r="A63" s="119"/>
      <c r="B63" s="68">
        <v>2010</v>
      </c>
      <c r="C63" s="69"/>
      <c r="D63" s="75">
        <v>48210</v>
      </c>
      <c r="E63" s="70">
        <f t="shared" si="30"/>
        <v>132.08219178082192</v>
      </c>
      <c r="F63" s="71">
        <f>D63-H63</f>
        <v>0</v>
      </c>
      <c r="G63" s="72">
        <f t="shared" si="31"/>
        <v>0</v>
      </c>
      <c r="H63" s="71">
        <f t="shared" si="32"/>
        <v>48210</v>
      </c>
      <c r="I63" s="71">
        <f t="shared" si="33"/>
        <v>132.08219178082192</v>
      </c>
      <c r="J63" s="71">
        <v>40440</v>
      </c>
      <c r="K63" s="70">
        <f>J63/365/Nodrosinajums!F9*1000</f>
        <v>136.11120460435529</v>
      </c>
      <c r="L63" s="73">
        <f>303+7467</f>
        <v>7770</v>
      </c>
      <c r="M63" s="76"/>
    </row>
    <row r="64" spans="1:14" s="6" customFormat="1" ht="18.75" customHeight="1">
      <c r="A64" s="15"/>
      <c r="B64" s="21" t="s">
        <v>51</v>
      </c>
      <c r="C64" s="17"/>
      <c r="D64" s="18"/>
      <c r="E64" s="19"/>
      <c r="F64" s="20"/>
      <c r="G64" s="22"/>
      <c r="H64" s="20"/>
      <c r="I64" s="20"/>
      <c r="J64" s="20"/>
      <c r="K64" s="19"/>
      <c r="L64" s="20"/>
      <c r="M64" s="31"/>
    </row>
    <row r="65" spans="1:14" s="27" customFormat="1" ht="3" customHeight="1">
      <c r="A65" s="23"/>
      <c r="B65" s="21"/>
      <c r="C65" s="25"/>
      <c r="D65" s="21"/>
      <c r="E65" s="28"/>
      <c r="F65" s="38"/>
      <c r="G65" s="39"/>
      <c r="H65" s="38"/>
      <c r="I65" s="38"/>
      <c r="J65" s="38"/>
      <c r="K65" s="28"/>
      <c r="L65" s="38"/>
      <c r="M65" s="40"/>
    </row>
    <row r="66" spans="1:14" s="4" customFormat="1" ht="15.75" hidden="1">
      <c r="A66" s="15"/>
      <c r="B66" s="34"/>
      <c r="C66" s="34"/>
      <c r="D66" s="34"/>
      <c r="E66" s="33"/>
      <c r="F66" s="35"/>
      <c r="G66" s="35"/>
      <c r="H66" s="34"/>
      <c r="I66" s="34"/>
      <c r="J66" s="34"/>
      <c r="K66" s="35"/>
      <c r="L66" s="34"/>
      <c r="M66" s="34"/>
    </row>
    <row r="67" spans="1:14" s="6" customFormat="1" ht="5.25" customHeight="1">
      <c r="B67" s="5"/>
    </row>
    <row r="68" spans="1:14" s="7" customFormat="1" ht="15.75">
      <c r="A68" s="87" t="s">
        <v>1</v>
      </c>
      <c r="B68" s="87" t="s">
        <v>16</v>
      </c>
      <c r="C68" s="87"/>
      <c r="D68" s="121" t="s">
        <v>11</v>
      </c>
      <c r="E68" s="122"/>
      <c r="F68" s="122"/>
      <c r="G68" s="122"/>
      <c r="H68" s="123"/>
      <c r="I68" s="123"/>
      <c r="J68" s="123"/>
      <c r="K68" s="123"/>
      <c r="L68" s="123"/>
      <c r="M68" s="124"/>
    </row>
    <row r="69" spans="1:14" s="7" customFormat="1" ht="33" customHeight="1">
      <c r="A69" s="87"/>
      <c r="B69" s="87"/>
      <c r="C69" s="87"/>
      <c r="D69" s="87" t="s">
        <v>26</v>
      </c>
      <c r="E69" s="87"/>
      <c r="F69" s="101" t="s">
        <v>25</v>
      </c>
      <c r="G69" s="103"/>
      <c r="H69" s="87" t="s">
        <v>27</v>
      </c>
      <c r="I69" s="87"/>
      <c r="J69" s="87"/>
      <c r="K69" s="87"/>
      <c r="L69" s="87"/>
      <c r="M69" s="87"/>
    </row>
    <row r="70" spans="1:14" s="7" customFormat="1" ht="33" customHeight="1">
      <c r="A70" s="87"/>
      <c r="B70" s="87"/>
      <c r="C70" s="87"/>
      <c r="D70" s="83" t="s">
        <v>18</v>
      </c>
      <c r="E70" s="83" t="s">
        <v>19</v>
      </c>
      <c r="F70" s="83" t="s">
        <v>18</v>
      </c>
      <c r="G70" s="83" t="s">
        <v>7</v>
      </c>
      <c r="H70" s="83" t="s">
        <v>22</v>
      </c>
      <c r="I70" s="83" t="s">
        <v>19</v>
      </c>
      <c r="J70" s="83" t="s">
        <v>28</v>
      </c>
      <c r="K70" s="83" t="s">
        <v>24</v>
      </c>
      <c r="L70" s="101" t="s">
        <v>43</v>
      </c>
      <c r="M70" s="103"/>
    </row>
    <row r="71" spans="1:14" s="6" customFormat="1" ht="15.75">
      <c r="A71" s="117"/>
      <c r="B71" s="68">
        <v>2008</v>
      </c>
      <c r="C71" s="69"/>
      <c r="D71" s="71">
        <v>38684</v>
      </c>
      <c r="E71" s="70">
        <f>D71/365</f>
        <v>105.98356164383561</v>
      </c>
      <c r="F71" s="71">
        <f>D71-H71</f>
        <v>-88.342751842748839</v>
      </c>
      <c r="G71" s="72">
        <f>F71/D71</f>
        <v>-2.2837026120036408E-3</v>
      </c>
      <c r="H71" s="71">
        <f>J71+L71</f>
        <v>38772.342751842749</v>
      </c>
      <c r="I71" s="71">
        <f>H71/365</f>
        <v>106.2255965803911</v>
      </c>
      <c r="J71" s="71">
        <f>+K71*365*Nodrosinajums!J9/1000</f>
        <v>34398.342751842749</v>
      </c>
      <c r="K71" s="70">
        <f>+K61</f>
        <v>143.00764026791424</v>
      </c>
      <c r="L71" s="73">
        <f>291+4083</f>
        <v>4374</v>
      </c>
      <c r="M71" s="74"/>
      <c r="N71" s="77"/>
    </row>
    <row r="72" spans="1:14" s="6" customFormat="1" ht="15.75">
      <c r="A72" s="118"/>
      <c r="B72" s="68">
        <v>2009</v>
      </c>
      <c r="C72" s="69"/>
      <c r="D72" s="71">
        <v>36465</v>
      </c>
      <c r="E72" s="70">
        <f t="shared" ref="E72:E73" si="34">D72/365</f>
        <v>99.904109589041099</v>
      </c>
      <c r="F72" s="71">
        <f t="shared" ref="F72:F73" si="35">D72-H72</f>
        <v>264.41400491401146</v>
      </c>
      <c r="G72" s="72">
        <f t="shared" ref="G72:G73" si="36">F72/D72</f>
        <v>7.2511724918143828E-3</v>
      </c>
      <c r="H72" s="71">
        <f t="shared" ref="H72:H73" si="37">J72+L72</f>
        <v>36200.585995085989</v>
      </c>
      <c r="I72" s="71">
        <f t="shared" ref="I72:I73" si="38">H72/365</f>
        <v>99.179687657769833</v>
      </c>
      <c r="J72" s="71">
        <f>+K72*365*Nodrosinajums!J9/1000</f>
        <v>32492.585995085992</v>
      </c>
      <c r="K72" s="70">
        <f t="shared" ref="K72:K73" si="39">+K62</f>
        <v>135.08464878327891</v>
      </c>
      <c r="L72" s="73">
        <f>235+3473</f>
        <v>3708</v>
      </c>
      <c r="M72" s="74"/>
      <c r="N72" s="77"/>
    </row>
    <row r="73" spans="1:14" s="6" customFormat="1" ht="15.75">
      <c r="A73" s="119"/>
      <c r="B73" s="68">
        <v>2010</v>
      </c>
      <c r="C73" s="69"/>
      <c r="D73" s="71">
        <v>40257</v>
      </c>
      <c r="E73" s="70">
        <f t="shared" si="34"/>
        <v>110.2931506849315</v>
      </c>
      <c r="F73" s="71">
        <f t="shared" si="35"/>
        <v>2738.4914004914026</v>
      </c>
      <c r="G73" s="72">
        <f t="shared" si="36"/>
        <v>6.8025222954800471E-2</v>
      </c>
      <c r="H73" s="71">
        <f t="shared" si="37"/>
        <v>37518.508599508597</v>
      </c>
      <c r="I73" s="71">
        <f t="shared" si="38"/>
        <v>102.79043451920164</v>
      </c>
      <c r="J73" s="71">
        <f>+K73*365*Nodrosinajums!J9/1000</f>
        <v>32739.508599508601</v>
      </c>
      <c r="K73" s="70">
        <f t="shared" si="39"/>
        <v>136.11120460435529</v>
      </c>
      <c r="L73" s="73">
        <f>299+4480</f>
        <v>4779</v>
      </c>
      <c r="M73" s="74"/>
      <c r="N73" s="77"/>
    </row>
    <row r="74" spans="1:14" s="27" customFormat="1" ht="23.25" customHeight="1">
      <c r="A74" s="23"/>
      <c r="B74" s="113" t="s">
        <v>111</v>
      </c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26"/>
    </row>
    <row r="75" spans="1:14" s="4" customFormat="1" ht="15.75" hidden="1">
      <c r="A75" s="15"/>
      <c r="B75" s="36"/>
      <c r="C75" s="34"/>
      <c r="D75" s="36"/>
      <c r="E75" s="33"/>
      <c r="F75" s="33"/>
      <c r="G75" s="35"/>
      <c r="H75" s="34"/>
      <c r="I75" s="34"/>
      <c r="J75" s="34"/>
      <c r="K75" s="37"/>
      <c r="L75" s="34"/>
      <c r="M75" s="34"/>
    </row>
  </sheetData>
  <mergeCells count="83">
    <mergeCell ref="B74:M74"/>
    <mergeCell ref="G56:M56"/>
    <mergeCell ref="B37:M37"/>
    <mergeCell ref="A68:A70"/>
    <mergeCell ref="B68:B70"/>
    <mergeCell ref="C68:C70"/>
    <mergeCell ref="D68:M68"/>
    <mergeCell ref="D69:E69"/>
    <mergeCell ref="F69:G69"/>
    <mergeCell ref="H69:M69"/>
    <mergeCell ref="L70:M70"/>
    <mergeCell ref="A71:A73"/>
    <mergeCell ref="A58:A60"/>
    <mergeCell ref="B58:B60"/>
    <mergeCell ref="C58:C60"/>
    <mergeCell ref="D58:M58"/>
    <mergeCell ref="D59:E59"/>
    <mergeCell ref="F59:G59"/>
    <mergeCell ref="H59:M59"/>
    <mergeCell ref="L60:M60"/>
    <mergeCell ref="A61:A63"/>
    <mergeCell ref="A52:A54"/>
    <mergeCell ref="A49:A51"/>
    <mergeCell ref="A25:A27"/>
    <mergeCell ref="A34:A36"/>
    <mergeCell ref="A40:A42"/>
    <mergeCell ref="A31:A33"/>
    <mergeCell ref="A43:A45"/>
    <mergeCell ref="B40:B42"/>
    <mergeCell ref="C40:C42"/>
    <mergeCell ref="D40:M40"/>
    <mergeCell ref="D41:E41"/>
    <mergeCell ref="F41:G41"/>
    <mergeCell ref="H41:M41"/>
    <mergeCell ref="L42:M42"/>
    <mergeCell ref="L15:M15"/>
    <mergeCell ref="F11:M11"/>
    <mergeCell ref="L8:M8"/>
    <mergeCell ref="L9:M9"/>
    <mergeCell ref="B31:B33"/>
    <mergeCell ref="C31:C33"/>
    <mergeCell ref="D31:M31"/>
    <mergeCell ref="D32:E32"/>
    <mergeCell ref="F32:G32"/>
    <mergeCell ref="H32:M32"/>
    <mergeCell ref="L33:M33"/>
    <mergeCell ref="A4:A6"/>
    <mergeCell ref="A7:A9"/>
    <mergeCell ref="A13:A15"/>
    <mergeCell ref="B13:B15"/>
    <mergeCell ref="C13:C15"/>
    <mergeCell ref="B4:B6"/>
    <mergeCell ref="C4:C6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L6:M6"/>
    <mergeCell ref="A16:A18"/>
    <mergeCell ref="A22:A24"/>
    <mergeCell ref="B22:B24"/>
    <mergeCell ref="C22:C24"/>
    <mergeCell ref="D22:M22"/>
    <mergeCell ref="D23:E23"/>
    <mergeCell ref="L24:M24"/>
    <mergeCell ref="F23:G23"/>
    <mergeCell ref="H23:M23"/>
    <mergeCell ref="L16:M16"/>
    <mergeCell ref="L17:M17"/>
    <mergeCell ref="L18:M18"/>
    <mergeCell ref="B55:M55"/>
    <mergeCell ref="B49:B51"/>
    <mergeCell ref="C49:C51"/>
    <mergeCell ref="D49:M49"/>
    <mergeCell ref="D50:E50"/>
    <mergeCell ref="F50:G50"/>
    <mergeCell ref="H50:M50"/>
    <mergeCell ref="L51:M51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3" manualBreakCount="3">
    <brk id="20" max="16383" man="1"/>
    <brk id="38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Q9"/>
  <sheetViews>
    <sheetView topLeftCell="A7" workbookViewId="0">
      <selection activeCell="H11" sqref="H11"/>
    </sheetView>
  </sheetViews>
  <sheetFormatPr defaultRowHeight="15.75"/>
  <cols>
    <col min="1" max="1" width="6.42578125" style="50" customWidth="1"/>
    <col min="2" max="2" width="13.28515625" style="50" customWidth="1"/>
    <col min="3" max="8" width="19" style="50" customWidth="1"/>
    <col min="9" max="16384" width="9.140625" style="50"/>
  </cols>
  <sheetData>
    <row r="1" spans="1:17" s="8" customFormat="1" ht="18.75">
      <c r="A1" s="86" t="s">
        <v>59</v>
      </c>
      <c r="B1" s="86"/>
      <c r="C1" s="86"/>
      <c r="D1" s="86"/>
      <c r="E1" s="86"/>
    </row>
    <row r="2" spans="1:17" s="8" customFormat="1" ht="18.75">
      <c r="A2" s="9" t="str">
        <f>Nodrosinajums!A2</f>
        <v>Krimuldas novads</v>
      </c>
      <c r="B2" s="49"/>
      <c r="C2" s="49"/>
      <c r="D2" s="49"/>
      <c r="E2" s="49"/>
    </row>
    <row r="3" spans="1:17" s="7" customFormat="1" ht="30" customHeight="1">
      <c r="A3" s="87" t="s">
        <v>0</v>
      </c>
      <c r="B3" s="87" t="s">
        <v>1</v>
      </c>
      <c r="C3" s="87" t="s">
        <v>52</v>
      </c>
      <c r="D3" s="87"/>
      <c r="E3" s="87"/>
      <c r="F3" s="87" t="s">
        <v>61</v>
      </c>
      <c r="G3" s="87"/>
      <c r="H3" s="87"/>
    </row>
    <row r="4" spans="1:17" s="8" customFormat="1" ht="21.75" customHeight="1">
      <c r="A4" s="91"/>
      <c r="B4" s="126"/>
      <c r="C4" s="87" t="s">
        <v>53</v>
      </c>
      <c r="D4" s="87" t="s">
        <v>54</v>
      </c>
      <c r="E4" s="87" t="s">
        <v>55</v>
      </c>
      <c r="F4" s="87" t="s">
        <v>56</v>
      </c>
      <c r="G4" s="87" t="s">
        <v>57</v>
      </c>
      <c r="H4" s="87" t="s">
        <v>58</v>
      </c>
    </row>
    <row r="5" spans="1:17" s="8" customFormat="1" ht="6" customHeight="1">
      <c r="A5" s="126"/>
      <c r="B5" s="126"/>
      <c r="C5" s="127"/>
      <c r="D5" s="127"/>
      <c r="E5" s="127"/>
      <c r="F5" s="127"/>
      <c r="G5" s="127"/>
      <c r="H5" s="127"/>
    </row>
    <row r="6" spans="1:17" s="8" customFormat="1" ht="126">
      <c r="A6" s="41">
        <v>1</v>
      </c>
      <c r="B6" s="42" t="str">
        <f>+Nodrosinajums!B6</f>
        <v>Inciems</v>
      </c>
      <c r="C6" s="51" t="s">
        <v>101</v>
      </c>
      <c r="D6" s="56" t="s">
        <v>83</v>
      </c>
      <c r="E6" s="60" t="s">
        <v>29</v>
      </c>
      <c r="F6" s="56" t="s">
        <v>84</v>
      </c>
      <c r="G6" s="56" t="s">
        <v>82</v>
      </c>
      <c r="H6" s="56" t="s">
        <v>86</v>
      </c>
    </row>
    <row r="7" spans="1:17" s="8" customFormat="1" ht="126">
      <c r="A7" s="41">
        <v>2</v>
      </c>
      <c r="B7" s="42" t="str">
        <f>+Nodrosinajums!B7</f>
        <v>Sunīši</v>
      </c>
      <c r="C7" s="51" t="s">
        <v>60</v>
      </c>
      <c r="D7" s="60" t="s">
        <v>29</v>
      </c>
      <c r="E7" s="42" t="s">
        <v>60</v>
      </c>
      <c r="F7" s="56" t="s">
        <v>88</v>
      </c>
      <c r="G7" s="56" t="s">
        <v>85</v>
      </c>
      <c r="H7" s="56" t="s">
        <v>87</v>
      </c>
    </row>
    <row r="8" spans="1:17" s="8" customFormat="1" ht="50.25" customHeight="1">
      <c r="A8" s="41">
        <v>3</v>
      </c>
      <c r="B8" s="42" t="str">
        <f>+Nodrosinajums!B8</f>
        <v>Turaida</v>
      </c>
      <c r="C8" s="57" t="s">
        <v>29</v>
      </c>
      <c r="D8" s="42" t="s">
        <v>60</v>
      </c>
      <c r="E8" s="56" t="s">
        <v>89</v>
      </c>
      <c r="F8" s="128" t="s">
        <v>81</v>
      </c>
      <c r="G8" s="129"/>
      <c r="H8" s="130"/>
      <c r="I8" s="78"/>
      <c r="J8" s="78"/>
      <c r="K8" s="78"/>
      <c r="L8" s="78"/>
      <c r="M8" s="78"/>
      <c r="N8" s="78"/>
      <c r="O8" s="78"/>
      <c r="P8" s="78"/>
      <c r="Q8" s="78"/>
    </row>
    <row r="9" spans="1:17" s="8" customFormat="1" ht="47.25">
      <c r="A9" s="57">
        <v>4</v>
      </c>
      <c r="B9" s="56" t="str">
        <f>+Nodrosinajums!B9</f>
        <v>Ragana</v>
      </c>
      <c r="C9" s="57" t="s">
        <v>29</v>
      </c>
      <c r="D9" s="56" t="s">
        <v>29</v>
      </c>
      <c r="E9" s="56" t="s">
        <v>93</v>
      </c>
      <c r="F9" s="56" t="s">
        <v>92</v>
      </c>
      <c r="G9" s="56" t="s">
        <v>90</v>
      </c>
      <c r="H9" s="56" t="s">
        <v>91</v>
      </c>
    </row>
  </sheetData>
  <mergeCells count="12">
    <mergeCell ref="F8:H8"/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C2" sqref="C2"/>
    </sheetView>
  </sheetViews>
  <sheetFormatPr defaultRowHeight="15.75" outlineLevelRow="1"/>
  <cols>
    <col min="1" max="1" width="6.42578125" style="50" customWidth="1"/>
    <col min="2" max="2" width="13.28515625" style="50" customWidth="1"/>
    <col min="3" max="8" width="16.140625" style="50" customWidth="1"/>
    <col min="9" max="9" width="26.85546875" style="55" customWidth="1"/>
    <col min="10" max="16384" width="9.140625" style="50"/>
  </cols>
  <sheetData>
    <row r="1" spans="1:9" s="8" customFormat="1" ht="18.75">
      <c r="A1" s="86" t="s">
        <v>62</v>
      </c>
      <c r="B1" s="86"/>
      <c r="C1" s="86"/>
      <c r="D1" s="86"/>
      <c r="E1" s="86"/>
      <c r="I1" s="54"/>
    </row>
    <row r="2" spans="1:9" s="8" customFormat="1" ht="18.75">
      <c r="A2" s="9" t="str">
        <f>Nodrosinajums!A2</f>
        <v>Krimuldas novads</v>
      </c>
      <c r="B2" s="49"/>
      <c r="C2" s="49"/>
      <c r="D2" s="49"/>
      <c r="E2" s="49"/>
      <c r="I2" s="54"/>
    </row>
    <row r="3" spans="1:9" s="7" customFormat="1" ht="30" customHeight="1">
      <c r="A3" s="87" t="s">
        <v>0</v>
      </c>
      <c r="B3" s="87" t="s">
        <v>1</v>
      </c>
      <c r="C3" s="87" t="s">
        <v>63</v>
      </c>
      <c r="D3" s="87"/>
      <c r="E3" s="87"/>
      <c r="F3" s="87" t="s">
        <v>64</v>
      </c>
      <c r="G3" s="87"/>
      <c r="H3" s="87"/>
      <c r="I3" s="131" t="s">
        <v>69</v>
      </c>
    </row>
    <row r="4" spans="1:9" s="8" customFormat="1" ht="21.75" customHeight="1">
      <c r="A4" s="91"/>
      <c r="B4" s="126"/>
      <c r="C4" s="87" t="s">
        <v>65</v>
      </c>
      <c r="D4" s="87" t="s">
        <v>54</v>
      </c>
      <c r="E4" s="87" t="s">
        <v>66</v>
      </c>
      <c r="F4" s="87" t="s">
        <v>67</v>
      </c>
      <c r="G4" s="87" t="s">
        <v>66</v>
      </c>
      <c r="H4" s="87" t="s">
        <v>68</v>
      </c>
      <c r="I4" s="132"/>
    </row>
    <row r="5" spans="1:9" s="8" customFormat="1" ht="6" customHeight="1">
      <c r="A5" s="126"/>
      <c r="B5" s="126"/>
      <c r="C5" s="127"/>
      <c r="D5" s="127"/>
      <c r="E5" s="127"/>
      <c r="F5" s="127"/>
      <c r="G5" s="127"/>
      <c r="H5" s="127"/>
      <c r="I5" s="132"/>
    </row>
    <row r="6" spans="1:9" s="8" customFormat="1" ht="110.25">
      <c r="A6" s="41">
        <v>1</v>
      </c>
      <c r="B6" s="42" t="str">
        <f>+Kvalitate!B6</f>
        <v>Inciems</v>
      </c>
      <c r="C6" s="51" t="s">
        <v>112</v>
      </c>
      <c r="D6" s="51" t="s">
        <v>115</v>
      </c>
      <c r="E6" s="60" t="s">
        <v>29</v>
      </c>
      <c r="F6" s="51" t="s">
        <v>95</v>
      </c>
      <c r="G6" s="51" t="s">
        <v>99</v>
      </c>
      <c r="H6" s="51" t="s">
        <v>100</v>
      </c>
      <c r="I6" s="52" t="s">
        <v>102</v>
      </c>
    </row>
    <row r="7" spans="1:9" s="8" customFormat="1" ht="141.75">
      <c r="A7" s="57">
        <v>2</v>
      </c>
      <c r="B7" s="56" t="str">
        <f>+Kvalitate!B7</f>
        <v>Sunīši</v>
      </c>
      <c r="C7" s="51" t="s">
        <v>113</v>
      </c>
      <c r="D7" s="51" t="s">
        <v>105</v>
      </c>
      <c r="E7" s="51" t="s">
        <v>117</v>
      </c>
      <c r="F7" s="51" t="s">
        <v>103</v>
      </c>
      <c r="G7" s="51" t="s">
        <v>104</v>
      </c>
      <c r="H7" s="60" t="s">
        <v>97</v>
      </c>
      <c r="I7" s="52" t="s">
        <v>119</v>
      </c>
    </row>
    <row r="8" spans="1:9" s="8" customFormat="1" ht="114" customHeight="1" outlineLevel="1">
      <c r="A8" s="57">
        <v>3</v>
      </c>
      <c r="B8" s="56" t="str">
        <f>+Kvalitate!B8</f>
        <v>Turaida</v>
      </c>
      <c r="C8" s="51" t="s">
        <v>114</v>
      </c>
      <c r="D8" s="51" t="s">
        <v>107</v>
      </c>
      <c r="E8" s="51" t="s">
        <v>118</v>
      </c>
      <c r="F8" s="51" t="s">
        <v>106</v>
      </c>
      <c r="G8" s="60" t="s">
        <v>29</v>
      </c>
      <c r="H8" s="60" t="s">
        <v>29</v>
      </c>
      <c r="I8" s="52" t="s">
        <v>108</v>
      </c>
    </row>
    <row r="9" spans="1:9" s="8" customFormat="1" ht="173.25">
      <c r="A9" s="57">
        <v>4</v>
      </c>
      <c r="B9" s="56" t="str">
        <f>+Kvalitate!B9</f>
        <v>Ragana</v>
      </c>
      <c r="C9" s="51" t="s">
        <v>120</v>
      </c>
      <c r="D9" s="51" t="s">
        <v>116</v>
      </c>
      <c r="E9" s="51" t="s">
        <v>94</v>
      </c>
      <c r="F9" s="51" t="s">
        <v>95</v>
      </c>
      <c r="G9" s="51" t="s">
        <v>96</v>
      </c>
      <c r="H9" s="57" t="s">
        <v>97</v>
      </c>
      <c r="I9" s="52" t="s">
        <v>98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2012-01-25T12:29:38Z</cp:lastPrinted>
  <dcterms:created xsi:type="dcterms:W3CDTF">2011-12-13T13:06:12Z</dcterms:created>
  <dcterms:modified xsi:type="dcterms:W3CDTF">2012-01-25T12:35:25Z</dcterms:modified>
</cp:coreProperties>
</file>